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U28" i="3" l="1"/>
  <c r="S28" i="3"/>
  <c r="K28" i="3"/>
  <c r="I28" i="3"/>
  <c r="AB27" i="3"/>
  <c r="AA27" i="3" s="1"/>
  <c r="Z27" i="3"/>
  <c r="X27" i="3"/>
  <c r="R27" i="3"/>
  <c r="R28" i="3" s="1"/>
  <c r="I27" i="3"/>
  <c r="AC27" i="3" s="1"/>
  <c r="J26" i="3"/>
  <c r="L26" i="3" s="1"/>
  <c r="I26" i="3"/>
  <c r="J25" i="3"/>
  <c r="L25" i="3" s="1"/>
  <c r="I25" i="3"/>
  <c r="P24" i="3"/>
  <c r="I24" i="3"/>
  <c r="J24" i="3" s="1"/>
  <c r="L24" i="3" s="1"/>
  <c r="P23" i="3"/>
  <c r="P28" i="3" s="1"/>
  <c r="J23" i="3"/>
  <c r="L23" i="3" s="1"/>
  <c r="I23" i="3"/>
  <c r="J22" i="3"/>
  <c r="L22" i="3" s="1"/>
  <c r="I22" i="3"/>
  <c r="J21" i="3"/>
  <c r="L21" i="3" s="1"/>
  <c r="I21" i="3"/>
  <c r="I20" i="3"/>
  <c r="J20" i="3" s="1"/>
  <c r="L20" i="3" s="1"/>
  <c r="I19" i="3"/>
  <c r="J19" i="3" s="1"/>
  <c r="L19" i="3" s="1"/>
  <c r="J18" i="3"/>
  <c r="L18" i="3" s="1"/>
  <c r="I18" i="3"/>
  <c r="I17" i="3"/>
  <c r="J17" i="3" s="1"/>
  <c r="L17" i="3" s="1"/>
  <c r="J16" i="3"/>
  <c r="L16" i="3" s="1"/>
  <c r="I16" i="3"/>
  <c r="J15" i="3"/>
  <c r="L15" i="3" s="1"/>
  <c r="I15" i="3"/>
  <c r="W12" i="3"/>
  <c r="V12" i="3"/>
  <c r="S12" i="3"/>
  <c r="L28" i="3" l="1"/>
  <c r="M15" i="3"/>
  <c r="N15" i="3" s="1"/>
  <c r="M16" i="3"/>
  <c r="N16" i="3"/>
  <c r="AC17" i="3"/>
  <c r="N17" i="3"/>
  <c r="M17" i="3"/>
  <c r="AC19" i="3"/>
  <c r="N19" i="3"/>
  <c r="AC25" i="3"/>
  <c r="N25" i="3"/>
  <c r="N26" i="3"/>
  <c r="AC26" i="3"/>
  <c r="J28" i="3"/>
  <c r="M18" i="3"/>
  <c r="AC18" i="3"/>
  <c r="N18" i="3"/>
  <c r="AC20" i="3"/>
  <c r="M20" i="3"/>
  <c r="N20" i="3" s="1"/>
  <c r="AC21" i="3"/>
  <c r="N21" i="3"/>
  <c r="AC22" i="3"/>
  <c r="N22" i="3"/>
  <c r="N23" i="3"/>
  <c r="AC23" i="3"/>
  <c r="AC24" i="3"/>
  <c r="N24" i="3"/>
  <c r="Y27" i="3"/>
  <c r="AN33" i="2"/>
  <c r="AM33" i="2"/>
  <c r="AL33" i="2"/>
  <c r="AK33" i="2"/>
  <c r="AI33" i="2"/>
  <c r="AH33" i="2"/>
  <c r="AG33" i="2"/>
  <c r="AF33" i="2"/>
  <c r="AE33" i="2"/>
  <c r="AD33" i="2"/>
  <c r="AC33" i="2"/>
  <c r="AB33" i="2"/>
  <c r="AJ33" i="2" s="1"/>
  <c r="AI32" i="2"/>
  <c r="AH32" i="2"/>
  <c r="AG32" i="2"/>
  <c r="AF32" i="2"/>
  <c r="AE32" i="2"/>
  <c r="AD32" i="2"/>
  <c r="AC32" i="2"/>
  <c r="AB32" i="2"/>
  <c r="AJ32" i="2" s="1"/>
  <c r="AC27" i="2"/>
  <c r="T26" i="2"/>
  <c r="P26" i="2"/>
  <c r="L26" i="2"/>
  <c r="L28" i="2" s="1"/>
  <c r="AB25" i="2"/>
  <c r="K25" i="2"/>
  <c r="M25" i="2" s="1"/>
  <c r="AB24" i="2"/>
  <c r="K24" i="2"/>
  <c r="M24" i="2" s="1"/>
  <c r="AB23" i="2"/>
  <c r="K23" i="2"/>
  <c r="M23" i="2" s="1"/>
  <c r="AB22" i="2"/>
  <c r="K22" i="2"/>
  <c r="M22" i="2" s="1"/>
  <c r="AB21" i="2"/>
  <c r="K21" i="2"/>
  <c r="M21" i="2" s="1"/>
  <c r="AB20" i="2"/>
  <c r="K20" i="2"/>
  <c r="M20" i="2" s="1"/>
  <c r="AB19" i="2"/>
  <c r="K19" i="2"/>
  <c r="M19" i="2" s="1"/>
  <c r="AB18" i="2"/>
  <c r="K18" i="2"/>
  <c r="M18" i="2" s="1"/>
  <c r="AB17" i="2"/>
  <c r="K17" i="2"/>
  <c r="M17" i="2" s="1"/>
  <c r="AB16" i="2"/>
  <c r="K16" i="2"/>
  <c r="M16" i="2" s="1"/>
  <c r="AB15" i="2"/>
  <c r="K15" i="2"/>
  <c r="M15" i="2" s="1"/>
  <c r="AB14" i="2"/>
  <c r="AB26" i="2" s="1"/>
  <c r="K14" i="2"/>
  <c r="M14" i="2" s="1"/>
  <c r="X10" i="2"/>
  <c r="V10" i="2"/>
  <c r="N28" i="3" l="1"/>
  <c r="X15" i="3"/>
  <c r="O15" i="3"/>
  <c r="X20" i="3"/>
  <c r="O20" i="3"/>
  <c r="T20" i="3" s="1"/>
  <c r="V20" i="3" s="1"/>
  <c r="X23" i="3"/>
  <c r="O23" i="3"/>
  <c r="T23" i="3" s="1"/>
  <c r="V23" i="3" s="1"/>
  <c r="X18" i="3"/>
  <c r="O18" i="3"/>
  <c r="T18" i="3" s="1"/>
  <c r="V18" i="3" s="1"/>
  <c r="X25" i="3"/>
  <c r="O25" i="3"/>
  <c r="T25" i="3" s="1"/>
  <c r="V25" i="3" s="1"/>
  <c r="X19" i="3"/>
  <c r="O19" i="3"/>
  <c r="T19" i="3" s="1"/>
  <c r="V19" i="3" s="1"/>
  <c r="AC28" i="3"/>
  <c r="AC29" i="3" s="1"/>
  <c r="O24" i="3"/>
  <c r="T24" i="3" s="1"/>
  <c r="X24" i="3"/>
  <c r="V24" i="3"/>
  <c r="X22" i="3"/>
  <c r="V22" i="3"/>
  <c r="O22" i="3"/>
  <c r="T22" i="3" s="1"/>
  <c r="X21" i="3"/>
  <c r="O21" i="3"/>
  <c r="T21" i="3" s="1"/>
  <c r="V21" i="3" s="1"/>
  <c r="O26" i="3"/>
  <c r="T26" i="3" s="1"/>
  <c r="V26" i="3" s="1"/>
  <c r="X17" i="3"/>
  <c r="X33" i="3" s="1"/>
  <c r="V17" i="3"/>
  <c r="O17" i="3"/>
  <c r="T17" i="3" s="1"/>
  <c r="O16" i="3"/>
  <c r="T16" i="3" s="1"/>
  <c r="X16" i="3"/>
  <c r="V16" i="3"/>
  <c r="Q16" i="3"/>
  <c r="Q28" i="3" s="1"/>
  <c r="M28" i="3"/>
  <c r="O16" i="2"/>
  <c r="N16" i="2"/>
  <c r="M26" i="2"/>
  <c r="N14" i="2"/>
  <c r="O14" i="2" s="1"/>
  <c r="N15" i="2"/>
  <c r="O15" i="2" s="1"/>
  <c r="O18" i="2"/>
  <c r="O20" i="2"/>
  <c r="O22" i="2"/>
  <c r="N24" i="2"/>
  <c r="O24" i="2" s="1"/>
  <c r="N25" i="2"/>
  <c r="O25" i="2" s="1"/>
  <c r="N17" i="2"/>
  <c r="O17" i="2" s="1"/>
  <c r="N18" i="2"/>
  <c r="N19" i="2"/>
  <c r="O19" i="2" s="1"/>
  <c r="N20" i="2"/>
  <c r="N21" i="2"/>
  <c r="O21" i="2" s="1"/>
  <c r="N22" i="2"/>
  <c r="N23" i="2"/>
  <c r="O23" i="2" s="1"/>
  <c r="AD32" i="1"/>
  <c r="Q32" i="1"/>
  <c r="P32" i="1"/>
  <c r="L32" i="1"/>
  <c r="M31" i="1"/>
  <c r="N31" i="1" s="1"/>
  <c r="AG30" i="1"/>
  <c r="M30" i="1"/>
  <c r="N30" i="1" s="1"/>
  <c r="M29" i="1"/>
  <c r="N29" i="1" s="1"/>
  <c r="AG28" i="1"/>
  <c r="K28" i="1"/>
  <c r="M28" i="1" s="1"/>
  <c r="N28" i="1" s="1"/>
  <c r="AG27" i="1"/>
  <c r="N27" i="1"/>
  <c r="M27" i="1"/>
  <c r="AG26" i="1"/>
  <c r="M26" i="1"/>
  <c r="N26" i="1" s="1"/>
  <c r="M25" i="1"/>
  <c r="N25" i="1" s="1"/>
  <c r="K25" i="1"/>
  <c r="AG24" i="1"/>
  <c r="M24" i="1"/>
  <c r="N24" i="1" s="1"/>
  <c r="K24" i="1"/>
  <c r="M23" i="1"/>
  <c r="N23" i="1" s="1"/>
  <c r="K23" i="1"/>
  <c r="AG22" i="1"/>
  <c r="M22" i="1"/>
  <c r="N22" i="1" s="1"/>
  <c r="K22" i="1"/>
  <c r="K21" i="1"/>
  <c r="M21" i="1" s="1"/>
  <c r="N21" i="1" s="1"/>
  <c r="M20" i="1"/>
  <c r="N20" i="1" s="1"/>
  <c r="K20" i="1"/>
  <c r="K19" i="1"/>
  <c r="M19" i="1" s="1"/>
  <c r="N19" i="1" s="1"/>
  <c r="K18" i="1"/>
  <c r="M18" i="1" s="1"/>
  <c r="N18" i="1" s="1"/>
  <c r="K17" i="1"/>
  <c r="K32" i="1" s="1"/>
  <c r="AB19" i="3" l="1"/>
  <c r="Z19" i="3" s="1"/>
  <c r="AA19" i="3"/>
  <c r="W19" i="3"/>
  <c r="AB18" i="3"/>
  <c r="Z18" i="3"/>
  <c r="AA18" i="3"/>
  <c r="Y18" i="3"/>
  <c r="W18" i="3"/>
  <c r="AA21" i="3"/>
  <c r="W21" i="3"/>
  <c r="AB21" i="3"/>
  <c r="Y21" i="3" s="1"/>
  <c r="Z21" i="3"/>
  <c r="AB26" i="3"/>
  <c r="Z26" i="3"/>
  <c r="W26" i="3"/>
  <c r="AA26" i="3"/>
  <c r="Y26" i="3"/>
  <c r="AA25" i="3"/>
  <c r="W25" i="3"/>
  <c r="AB25" i="3"/>
  <c r="Y25" i="3" s="1"/>
  <c r="Z25" i="3"/>
  <c r="AB23" i="3"/>
  <c r="Z23" i="3"/>
  <c r="AA23" i="3"/>
  <c r="Y23" i="3"/>
  <c r="W23" i="3"/>
  <c r="AA20" i="3"/>
  <c r="W20" i="3"/>
  <c r="AB20" i="3"/>
  <c r="Y20" i="3" s="1"/>
  <c r="Z20" i="3"/>
  <c r="X28" i="3"/>
  <c r="AA16" i="3"/>
  <c r="W16" i="3"/>
  <c r="AB16" i="3"/>
  <c r="Y16" i="3" s="1"/>
  <c r="Z16" i="3"/>
  <c r="V33" i="3"/>
  <c r="AB17" i="3"/>
  <c r="Z17" i="3" s="1"/>
  <c r="Y17" i="3"/>
  <c r="AA17" i="3"/>
  <c r="W17" i="3"/>
  <c r="AA22" i="3"/>
  <c r="W22" i="3"/>
  <c r="AB22" i="3"/>
  <c r="Y22" i="3" s="1"/>
  <c r="AA24" i="3"/>
  <c r="W24" i="3"/>
  <c r="AB24" i="3"/>
  <c r="Y24" i="3" s="1"/>
  <c r="Z24" i="3"/>
  <c r="O28" i="3"/>
  <c r="T15" i="3"/>
  <c r="S25" i="2"/>
  <c r="Q25" i="2"/>
  <c r="W25" i="2"/>
  <c r="AC25" i="2" s="1"/>
  <c r="R25" i="2"/>
  <c r="O26" i="2"/>
  <c r="W14" i="2"/>
  <c r="S14" i="2"/>
  <c r="Q14" i="2"/>
  <c r="W23" i="2"/>
  <c r="AC23" i="2" s="1"/>
  <c r="S23" i="2"/>
  <c r="Q23" i="2"/>
  <c r="R23" i="2" s="1"/>
  <c r="U23" i="2" s="1"/>
  <c r="W21" i="2"/>
  <c r="AC21" i="2" s="1"/>
  <c r="S21" i="2"/>
  <c r="Q21" i="2"/>
  <c r="R21" i="2" s="1"/>
  <c r="U21" i="2" s="1"/>
  <c r="W19" i="2"/>
  <c r="AC19" i="2" s="1"/>
  <c r="S19" i="2"/>
  <c r="Q19" i="2"/>
  <c r="R19" i="2" s="1"/>
  <c r="U19" i="2" s="1"/>
  <c r="W17" i="2"/>
  <c r="AC17" i="2" s="1"/>
  <c r="S17" i="2"/>
  <c r="Q17" i="2"/>
  <c r="R17" i="2" s="1"/>
  <c r="U17" i="2" s="1"/>
  <c r="S24" i="2"/>
  <c r="Q24" i="2"/>
  <c r="W24" i="2"/>
  <c r="AC24" i="2" s="1"/>
  <c r="R24" i="2"/>
  <c r="U24" i="2" s="1"/>
  <c r="W15" i="2"/>
  <c r="AC15" i="2" s="1"/>
  <c r="S15" i="2"/>
  <c r="Q15" i="2"/>
  <c r="R15" i="2" s="1"/>
  <c r="U15" i="2" s="1"/>
  <c r="W22" i="2"/>
  <c r="AC22" i="2" s="1"/>
  <c r="S22" i="2"/>
  <c r="Q22" i="2"/>
  <c r="R22" i="2" s="1"/>
  <c r="U22" i="2" s="1"/>
  <c r="W20" i="2"/>
  <c r="AC20" i="2" s="1"/>
  <c r="S20" i="2"/>
  <c r="Q20" i="2"/>
  <c r="R20" i="2" s="1"/>
  <c r="U20" i="2" s="1"/>
  <c r="W18" i="2"/>
  <c r="AC18" i="2" s="1"/>
  <c r="S18" i="2"/>
  <c r="Q18" i="2"/>
  <c r="R18" i="2" s="1"/>
  <c r="U18" i="2" s="1"/>
  <c r="N26" i="2"/>
  <c r="W16" i="2"/>
  <c r="AC16" i="2" s="1"/>
  <c r="S16" i="2"/>
  <c r="Q16" i="2"/>
  <c r="R16" i="2" s="1"/>
  <c r="U16" i="2" s="1"/>
  <c r="Z18" i="1"/>
  <c r="Y18" i="1"/>
  <c r="AR18" i="1" s="1"/>
  <c r="O18" i="1"/>
  <c r="R18" i="1" s="1"/>
  <c r="S18" i="1" s="1"/>
  <c r="T18" i="1" s="1"/>
  <c r="Z21" i="1"/>
  <c r="Y21" i="1"/>
  <c r="AR21" i="1" s="1"/>
  <c r="O21" i="1"/>
  <c r="R21" i="1" s="1"/>
  <c r="S21" i="1" s="1"/>
  <c r="T21" i="1" s="1"/>
  <c r="Y22" i="1"/>
  <c r="AR22" i="1" s="1"/>
  <c r="O22" i="1"/>
  <c r="Z22" i="1"/>
  <c r="R22" i="1"/>
  <c r="S22" i="1" s="1"/>
  <c r="T22" i="1" s="1"/>
  <c r="Z19" i="1"/>
  <c r="Y19" i="1"/>
  <c r="AR19" i="1" s="1"/>
  <c r="O19" i="1"/>
  <c r="R19" i="1" s="1"/>
  <c r="S19" i="1" s="1"/>
  <c r="T19" i="1" s="1"/>
  <c r="Y20" i="1"/>
  <c r="AR20" i="1" s="1"/>
  <c r="O20" i="1"/>
  <c r="Z20" i="1"/>
  <c r="R20" i="1"/>
  <c r="S20" i="1" s="1"/>
  <c r="T20" i="1" s="1"/>
  <c r="Z23" i="1"/>
  <c r="O23" i="1"/>
  <c r="Y23" i="1" s="1"/>
  <c r="AR23" i="1" s="1"/>
  <c r="M17" i="1"/>
  <c r="Z25" i="1"/>
  <c r="O25" i="1"/>
  <c r="R25" i="1" s="1"/>
  <c r="S25" i="1" s="1"/>
  <c r="T25" i="1" s="1"/>
  <c r="Z28" i="1"/>
  <c r="O28" i="1"/>
  <c r="Y28" i="1"/>
  <c r="AR28" i="1" s="1"/>
  <c r="R28" i="1"/>
  <c r="S28" i="1" s="1"/>
  <c r="T28" i="1" s="1"/>
  <c r="Z24" i="1"/>
  <c r="Y24" i="1"/>
  <c r="AR24" i="1" s="1"/>
  <c r="O24" i="1"/>
  <c r="R24" i="1" s="1"/>
  <c r="S24" i="1" s="1"/>
  <c r="T24" i="1" s="1"/>
  <c r="Z26" i="1"/>
  <c r="Y26" i="1"/>
  <c r="AR26" i="1" s="1"/>
  <c r="O26" i="1"/>
  <c r="R26" i="1" s="1"/>
  <c r="S26" i="1" s="1"/>
  <c r="T26" i="1" s="1"/>
  <c r="Z27" i="1"/>
  <c r="Y29" i="1"/>
  <c r="AR29" i="1" s="1"/>
  <c r="O29" i="1"/>
  <c r="Z29" i="1"/>
  <c r="R29" i="1"/>
  <c r="S29" i="1" s="1"/>
  <c r="T29" i="1" s="1"/>
  <c r="O27" i="1"/>
  <c r="R27" i="1" s="1"/>
  <c r="S27" i="1" s="1"/>
  <c r="T27" i="1" s="1"/>
  <c r="O30" i="1"/>
  <c r="Y30" i="1" s="1"/>
  <c r="AR30" i="1" s="1"/>
  <c r="Z30" i="1"/>
  <c r="R30" i="1"/>
  <c r="S30" i="1" s="1"/>
  <c r="T30" i="1" s="1"/>
  <c r="Z31" i="1"/>
  <c r="O31" i="1"/>
  <c r="Y31" i="1" s="1"/>
  <c r="AR31" i="1" s="1"/>
  <c r="Z33" i="3" l="1"/>
  <c r="Z22" i="3"/>
  <c r="AA33" i="3"/>
  <c r="Y19" i="3"/>
  <c r="T28" i="3"/>
  <c r="V15" i="3"/>
  <c r="W33" i="3"/>
  <c r="Y33" i="3"/>
  <c r="W35" i="3" s="1"/>
  <c r="W36" i="3" s="1"/>
  <c r="W37" i="3" s="1"/>
  <c r="AA16" i="2"/>
  <c r="Y16" i="2" s="1"/>
  <c r="Z16" i="2"/>
  <c r="X16" i="2"/>
  <c r="V16" i="2"/>
  <c r="AA18" i="2"/>
  <c r="Y18" i="2" s="1"/>
  <c r="X18" i="2"/>
  <c r="Z18" i="2"/>
  <c r="V18" i="2"/>
  <c r="AA22" i="2"/>
  <c r="Y22" i="2"/>
  <c r="X22" i="2"/>
  <c r="Z22" i="2"/>
  <c r="V22" i="2"/>
  <c r="AA17" i="2"/>
  <c r="Y17" i="2" s="1"/>
  <c r="X17" i="2"/>
  <c r="Z17" i="2"/>
  <c r="V17" i="2"/>
  <c r="AA21" i="2"/>
  <c r="Y21" i="2"/>
  <c r="X21" i="2"/>
  <c r="Z21" i="2"/>
  <c r="V21" i="2"/>
  <c r="AA20" i="2"/>
  <c r="Y20" i="2" s="1"/>
  <c r="X20" i="2"/>
  <c r="Z20" i="2"/>
  <c r="V20" i="2"/>
  <c r="AA15" i="2"/>
  <c r="Y15" i="2"/>
  <c r="X15" i="2"/>
  <c r="Z15" i="2"/>
  <c r="V15" i="2"/>
  <c r="AA19" i="2"/>
  <c r="Y19" i="2" s="1"/>
  <c r="X19" i="2"/>
  <c r="Z19" i="2"/>
  <c r="V19" i="2"/>
  <c r="AA23" i="2"/>
  <c r="Y23" i="2"/>
  <c r="X23" i="2"/>
  <c r="Z23" i="2"/>
  <c r="V23" i="2"/>
  <c r="S26" i="2"/>
  <c r="W26" i="2"/>
  <c r="AC14" i="2"/>
  <c r="AC26" i="2" s="1"/>
  <c r="AC28" i="2" s="1"/>
  <c r="U25" i="2"/>
  <c r="Z24" i="2"/>
  <c r="V24" i="2"/>
  <c r="AA24" i="2"/>
  <c r="X24" i="2" s="1"/>
  <c r="Y24" i="2"/>
  <c r="Q26" i="2"/>
  <c r="R14" i="2"/>
  <c r="U27" i="1"/>
  <c r="AN27" i="1"/>
  <c r="X27" i="1"/>
  <c r="AQ27" i="1" s="1"/>
  <c r="AN26" i="1"/>
  <c r="X26" i="1"/>
  <c r="AQ26" i="1" s="1"/>
  <c r="U26" i="1"/>
  <c r="X25" i="1"/>
  <c r="AQ25" i="1" s="1"/>
  <c r="AN25" i="1"/>
  <c r="U25" i="1"/>
  <c r="X21" i="1"/>
  <c r="AQ21" i="1" s="1"/>
  <c r="AN21" i="1"/>
  <c r="U21" i="1"/>
  <c r="AN24" i="1"/>
  <c r="X24" i="1"/>
  <c r="AQ24" i="1" s="1"/>
  <c r="U24" i="1"/>
  <c r="X19" i="1"/>
  <c r="AQ19" i="1" s="1"/>
  <c r="AN19" i="1"/>
  <c r="U19" i="1"/>
  <c r="X18" i="1"/>
  <c r="AQ18" i="1" s="1"/>
  <c r="AN18" i="1"/>
  <c r="U18" i="1"/>
  <c r="R31" i="1"/>
  <c r="S31" i="1" s="1"/>
  <c r="T31" i="1" s="1"/>
  <c r="AA31" i="1"/>
  <c r="AB31" i="1" s="1"/>
  <c r="AA30" i="1"/>
  <c r="AB30" i="1" s="1"/>
  <c r="AN29" i="1"/>
  <c r="U29" i="1"/>
  <c r="X29" i="1"/>
  <c r="AQ29" i="1" s="1"/>
  <c r="AA27" i="1"/>
  <c r="AB27" i="1" s="1"/>
  <c r="AN28" i="1"/>
  <c r="X28" i="1"/>
  <c r="AQ28" i="1" s="1"/>
  <c r="U28" i="1"/>
  <c r="Y27" i="1"/>
  <c r="AR27" i="1" s="1"/>
  <c r="Y25" i="1"/>
  <c r="AR25" i="1" s="1"/>
  <c r="AA25" i="1"/>
  <c r="AB25" i="1" s="1"/>
  <c r="R23" i="1"/>
  <c r="S23" i="1" s="1"/>
  <c r="T23" i="1" s="1"/>
  <c r="AA23" i="1"/>
  <c r="AB23" i="1" s="1"/>
  <c r="AN20" i="1"/>
  <c r="U20" i="1"/>
  <c r="X20" i="1"/>
  <c r="AQ20" i="1" s="1"/>
  <c r="U22" i="1"/>
  <c r="AN22" i="1"/>
  <c r="X22" i="1"/>
  <c r="AQ22" i="1" s="1"/>
  <c r="U30" i="1"/>
  <c r="AN30" i="1"/>
  <c r="X30" i="1"/>
  <c r="AQ30" i="1" s="1"/>
  <c r="AA29" i="1"/>
  <c r="AB29" i="1" s="1"/>
  <c r="AA26" i="1"/>
  <c r="AB26" i="1" s="1"/>
  <c r="AA24" i="1"/>
  <c r="AB24" i="1" s="1"/>
  <c r="AA28" i="1"/>
  <c r="AB28" i="1" s="1"/>
  <c r="M32" i="1"/>
  <c r="N17" i="1"/>
  <c r="AF20" i="1"/>
  <c r="AG20" i="1" s="1"/>
  <c r="AA20" i="1"/>
  <c r="AB20" i="1" s="1"/>
  <c r="AM20" i="1"/>
  <c r="AX20" i="1" s="1"/>
  <c r="AA19" i="1"/>
  <c r="AB19" i="1" s="1"/>
  <c r="AA22" i="1"/>
  <c r="AB22" i="1" s="1"/>
  <c r="AM21" i="1"/>
  <c r="AX21" i="1" s="1"/>
  <c r="AF21" i="1"/>
  <c r="AG21" i="1" s="1"/>
  <c r="AA21" i="1"/>
  <c r="AB21" i="1" s="1"/>
  <c r="AA18" i="1"/>
  <c r="AB18" i="1" s="1"/>
  <c r="V28" i="3" l="1"/>
  <c r="AB15" i="3"/>
  <c r="Z15" i="3"/>
  <c r="Z28" i="3" s="1"/>
  <c r="Z29" i="3" s="1"/>
  <c r="AA15" i="3"/>
  <c r="AA28" i="3" s="1"/>
  <c r="AA29" i="3" s="1"/>
  <c r="Y15" i="3"/>
  <c r="Y28" i="3" s="1"/>
  <c r="W15" i="3"/>
  <c r="W28" i="3" s="1"/>
  <c r="W31" i="3" s="1"/>
  <c r="R26" i="2"/>
  <c r="U14" i="2"/>
  <c r="Z25" i="2"/>
  <c r="V25" i="2"/>
  <c r="AA25" i="2"/>
  <c r="X25" i="2" s="1"/>
  <c r="Y25" i="2"/>
  <c r="N32" i="1"/>
  <c r="Z17" i="1"/>
  <c r="Y17" i="1"/>
  <c r="O17" i="1"/>
  <c r="O32" i="1" s="1"/>
  <c r="R17" i="1"/>
  <c r="AM28" i="1"/>
  <c r="AX28" i="1" s="1"/>
  <c r="AH24" i="1"/>
  <c r="AH26" i="1"/>
  <c r="W30" i="1"/>
  <c r="AP30" i="1" s="1"/>
  <c r="AS30" i="1" s="1"/>
  <c r="V30" i="1"/>
  <c r="AO30" i="1" s="1"/>
  <c r="V28" i="1"/>
  <c r="AO28" i="1" s="1"/>
  <c r="W28" i="1"/>
  <c r="AP28" i="1" s="1"/>
  <c r="AS28" i="1" s="1"/>
  <c r="AM31" i="1"/>
  <c r="AX31" i="1" s="1"/>
  <c r="V18" i="1"/>
  <c r="AO18" i="1" s="1"/>
  <c r="W18" i="1"/>
  <c r="AP18" i="1" s="1"/>
  <c r="AS18" i="1" s="1"/>
  <c r="V25" i="1"/>
  <c r="AO25" i="1" s="1"/>
  <c r="W25" i="1"/>
  <c r="AP25" i="1" s="1"/>
  <c r="AS25" i="1" s="1"/>
  <c r="W27" i="1"/>
  <c r="AP27" i="1" s="1"/>
  <c r="V27" i="1"/>
  <c r="AO27" i="1" s="1"/>
  <c r="AC18" i="1"/>
  <c r="AG18" i="1" s="1"/>
  <c r="AH18" i="1" s="1"/>
  <c r="AM18" i="1"/>
  <c r="AX18" i="1" s="1"/>
  <c r="AH21" i="1"/>
  <c r="AH22" i="1"/>
  <c r="AM22" i="1"/>
  <c r="AX22" i="1" s="1"/>
  <c r="AF19" i="1"/>
  <c r="AM19" i="1"/>
  <c r="AX19" i="1" s="1"/>
  <c r="AH20" i="1"/>
  <c r="AH28" i="1"/>
  <c r="AM24" i="1"/>
  <c r="AX24" i="1" s="1"/>
  <c r="AM26" i="1"/>
  <c r="AX26" i="1" s="1"/>
  <c r="AM29" i="1"/>
  <c r="AX29" i="1" s="1"/>
  <c r="AH29" i="1"/>
  <c r="W22" i="1"/>
  <c r="AP22" i="1" s="1"/>
  <c r="V22" i="1"/>
  <c r="AO22" i="1" s="1"/>
  <c r="W20" i="1"/>
  <c r="AP20" i="1" s="1"/>
  <c r="AS20" i="1" s="1"/>
  <c r="V20" i="1"/>
  <c r="AO20" i="1" s="1"/>
  <c r="AM23" i="1"/>
  <c r="AX23" i="1" s="1"/>
  <c r="AE23" i="1"/>
  <c r="AN23" i="1"/>
  <c r="U23" i="1"/>
  <c r="X23" i="1"/>
  <c r="AQ23" i="1" s="1"/>
  <c r="AE25" i="1"/>
  <c r="AG25" i="1" s="1"/>
  <c r="AH25" i="1" s="1"/>
  <c r="AM25" i="1"/>
  <c r="AX25" i="1" s="1"/>
  <c r="AS27" i="1"/>
  <c r="AH27" i="1"/>
  <c r="AM27" i="1"/>
  <c r="AX27" i="1" s="1"/>
  <c r="W29" i="1"/>
  <c r="AP29" i="1" s="1"/>
  <c r="V29" i="1"/>
  <c r="AO29" i="1" s="1"/>
  <c r="AH30" i="1"/>
  <c r="AM30" i="1"/>
  <c r="AX30" i="1" s="1"/>
  <c r="AH31" i="1"/>
  <c r="X31" i="1"/>
  <c r="AQ31" i="1" s="1"/>
  <c r="AN31" i="1"/>
  <c r="U31" i="1"/>
  <c r="V19" i="1"/>
  <c r="AO19" i="1" s="1"/>
  <c r="W19" i="1"/>
  <c r="AP19" i="1" s="1"/>
  <c r="AS19" i="1" s="1"/>
  <c r="V24" i="1"/>
  <c r="AO24" i="1" s="1"/>
  <c r="W24" i="1"/>
  <c r="AP24" i="1" s="1"/>
  <c r="AS24" i="1" s="1"/>
  <c r="V21" i="1"/>
  <c r="AO21" i="1" s="1"/>
  <c r="W21" i="1"/>
  <c r="AP21" i="1" s="1"/>
  <c r="AS21" i="1" s="1"/>
  <c r="V26" i="1"/>
  <c r="AO26" i="1" s="1"/>
  <c r="W26" i="1"/>
  <c r="AP26" i="1" s="1"/>
  <c r="AS26" i="1" s="1"/>
  <c r="Y29" i="3" l="1"/>
  <c r="AC30" i="3"/>
  <c r="V31" i="3"/>
  <c r="X30" i="3"/>
  <c r="X32" i="3" s="1"/>
  <c r="W29" i="3"/>
  <c r="AB28" i="3"/>
  <c r="AB29" i="3" s="1"/>
  <c r="U26" i="2"/>
  <c r="AA14" i="2"/>
  <c r="AA26" i="2" s="1"/>
  <c r="AA27" i="2" s="1"/>
  <c r="Y14" i="2"/>
  <c r="Y26" i="2" s="1"/>
  <c r="Y27" i="2" s="1"/>
  <c r="V14" i="2"/>
  <c r="V26" i="2" s="1"/>
  <c r="Z14" i="2"/>
  <c r="Z26" i="2" s="1"/>
  <c r="Z27" i="2" s="1"/>
  <c r="X14" i="2"/>
  <c r="X26" i="2" s="1"/>
  <c r="X27" i="2" s="1"/>
  <c r="AI25" i="1"/>
  <c r="AT25" i="1"/>
  <c r="AL25" i="1"/>
  <c r="AW25" i="1" s="1"/>
  <c r="AI18" i="1"/>
  <c r="AT18" i="1"/>
  <c r="AL18" i="1"/>
  <c r="AW18" i="1" s="1"/>
  <c r="AI31" i="1"/>
  <c r="AT31" i="1"/>
  <c r="AL31" i="1"/>
  <c r="AW31" i="1" s="1"/>
  <c r="AI30" i="1"/>
  <c r="AT30" i="1"/>
  <c r="AL30" i="1"/>
  <c r="AW30" i="1" s="1"/>
  <c r="AS29" i="1"/>
  <c r="AI27" i="1"/>
  <c r="AT27" i="1"/>
  <c r="AL27" i="1"/>
  <c r="AW27" i="1" s="1"/>
  <c r="AS22" i="1"/>
  <c r="AT20" i="1"/>
  <c r="AL20" i="1"/>
  <c r="AW20" i="1" s="1"/>
  <c r="AI20" i="1"/>
  <c r="AF32" i="1"/>
  <c r="AG19" i="1"/>
  <c r="AH19" i="1" s="1"/>
  <c r="AI22" i="1"/>
  <c r="AT22" i="1"/>
  <c r="AL22" i="1"/>
  <c r="AW22" i="1" s="1"/>
  <c r="AT26" i="1"/>
  <c r="AL26" i="1"/>
  <c r="AW26" i="1" s="1"/>
  <c r="AI26" i="1"/>
  <c r="Z32" i="1"/>
  <c r="AM17" i="1"/>
  <c r="AC17" i="1"/>
  <c r="AA17" i="1"/>
  <c r="V31" i="1"/>
  <c r="AO31" i="1" s="1"/>
  <c r="W31" i="1"/>
  <c r="AP31" i="1" s="1"/>
  <c r="AS31" i="1"/>
  <c r="W23" i="1"/>
  <c r="AP23" i="1" s="1"/>
  <c r="V23" i="1"/>
  <c r="AO23" i="1" s="1"/>
  <c r="AS23" i="1" s="1"/>
  <c r="AE32" i="1"/>
  <c r="AG23" i="1"/>
  <c r="AH23" i="1" s="1"/>
  <c r="AT29" i="1"/>
  <c r="AL29" i="1"/>
  <c r="AW29" i="1" s="1"/>
  <c r="AI29" i="1"/>
  <c r="AT28" i="1"/>
  <c r="AL28" i="1"/>
  <c r="AW28" i="1" s="1"/>
  <c r="AI28" i="1"/>
  <c r="AI21" i="1"/>
  <c r="AT21" i="1"/>
  <c r="AL21" i="1"/>
  <c r="AW21" i="1" s="1"/>
  <c r="AT24" i="1"/>
  <c r="AL24" i="1"/>
  <c r="AW24" i="1" s="1"/>
  <c r="AI24" i="1"/>
  <c r="R32" i="1"/>
  <c r="S17" i="1"/>
  <c r="Y32" i="1"/>
  <c r="Y33" i="1" s="1"/>
  <c r="AR17" i="1"/>
  <c r="AR32" i="1" l="1"/>
  <c r="S32" i="1"/>
  <c r="T17" i="1"/>
  <c r="AJ24" i="1"/>
  <c r="AU24" i="1" s="1"/>
  <c r="AK24" i="1"/>
  <c r="AV24" i="1" s="1"/>
  <c r="AY24" i="1"/>
  <c r="AK28" i="1"/>
  <c r="AV28" i="1" s="1"/>
  <c r="AJ28" i="1"/>
  <c r="AU28" i="1" s="1"/>
  <c r="AY28" i="1"/>
  <c r="AZ28" i="1"/>
  <c r="AT23" i="1"/>
  <c r="AL23" i="1"/>
  <c r="AW23" i="1" s="1"/>
  <c r="AI23" i="1"/>
  <c r="AC32" i="1"/>
  <c r="AG17" i="1"/>
  <c r="AG32" i="1" s="1"/>
  <c r="AM32" i="1"/>
  <c r="AX17" i="1"/>
  <c r="AX32" i="1" s="1"/>
  <c r="AJ26" i="1"/>
  <c r="AU26" i="1" s="1"/>
  <c r="AK26" i="1"/>
  <c r="AV26" i="1" s="1"/>
  <c r="AY26" i="1" s="1"/>
  <c r="AI19" i="1"/>
  <c r="AT19" i="1"/>
  <c r="AL19" i="1"/>
  <c r="AW19" i="1" s="1"/>
  <c r="AJ20" i="1"/>
  <c r="AU20" i="1" s="1"/>
  <c r="AK20" i="1"/>
  <c r="AV20" i="1" s="1"/>
  <c r="AY20" i="1"/>
  <c r="AK31" i="1"/>
  <c r="AV31" i="1" s="1"/>
  <c r="AJ31" i="1"/>
  <c r="AU31" i="1" s="1"/>
  <c r="AY31" i="1" s="1"/>
  <c r="AZ18" i="1"/>
  <c r="AK25" i="1"/>
  <c r="AV25" i="1" s="1"/>
  <c r="AJ25" i="1"/>
  <c r="AU25" i="1" s="1"/>
  <c r="AK21" i="1"/>
  <c r="AV21" i="1" s="1"/>
  <c r="AJ21" i="1"/>
  <c r="AU21" i="1" s="1"/>
  <c r="AY21" i="1" s="1"/>
  <c r="AJ29" i="1"/>
  <c r="AU29" i="1" s="1"/>
  <c r="AK29" i="1"/>
  <c r="AV29" i="1" s="1"/>
  <c r="AY29" i="1" s="1"/>
  <c r="AA32" i="1"/>
  <c r="AB17" i="1"/>
  <c r="AB32" i="1" s="1"/>
  <c r="AH17" i="1"/>
  <c r="AK22" i="1"/>
  <c r="AV22" i="1" s="1"/>
  <c r="AJ22" i="1"/>
  <c r="AU22" i="1" s="1"/>
  <c r="AY22" i="1" s="1"/>
  <c r="AK27" i="1"/>
  <c r="AV27" i="1" s="1"/>
  <c r="AJ27" i="1"/>
  <c r="AU27" i="1" s="1"/>
  <c r="AY27" i="1" s="1"/>
  <c r="AK30" i="1"/>
  <c r="AV30" i="1" s="1"/>
  <c r="AJ30" i="1"/>
  <c r="AU30" i="1" s="1"/>
  <c r="AY30" i="1" s="1"/>
  <c r="AK18" i="1"/>
  <c r="AV18" i="1" s="1"/>
  <c r="AJ18" i="1"/>
  <c r="AU18" i="1" s="1"/>
  <c r="AY18" i="1" s="1"/>
  <c r="AY25" i="1"/>
  <c r="AH32" i="1" l="1"/>
  <c r="AI17" i="1"/>
  <c r="AT17" i="1"/>
  <c r="AL17" i="1"/>
  <c r="AJ23" i="1"/>
  <c r="AU23" i="1" s="1"/>
  <c r="AK23" i="1"/>
  <c r="AV23" i="1" s="1"/>
  <c r="AY23" i="1" s="1"/>
  <c r="AK19" i="1"/>
  <c r="AV19" i="1" s="1"/>
  <c r="AY19" i="1" s="1"/>
  <c r="AJ19" i="1"/>
  <c r="AU19" i="1" s="1"/>
  <c r="T32" i="1"/>
  <c r="X17" i="1"/>
  <c r="AN17" i="1"/>
  <c r="AN32" i="1" s="1"/>
  <c r="U17" i="1"/>
  <c r="AT32" i="1" l="1"/>
  <c r="AZ17" i="1"/>
  <c r="U32" i="1"/>
  <c r="W17" i="1"/>
  <c r="V17" i="1"/>
  <c r="X32" i="1"/>
  <c r="X33" i="1" s="1"/>
  <c r="AQ17" i="1"/>
  <c r="AL32" i="1"/>
  <c r="AW17" i="1"/>
  <c r="AW32" i="1" s="1"/>
  <c r="AI32" i="1"/>
  <c r="AK17" i="1"/>
  <c r="AJ17" i="1"/>
  <c r="AK32" i="1" l="1"/>
  <c r="AV17" i="1"/>
  <c r="AV32" i="1" s="1"/>
  <c r="AQ32" i="1"/>
  <c r="V32" i="1"/>
  <c r="AO17" i="1"/>
  <c r="AO32" i="1" s="1"/>
  <c r="AJ32" i="1"/>
  <c r="AU17" i="1"/>
  <c r="W32" i="1"/>
  <c r="W33" i="1" s="1"/>
  <c r="AP17" i="1"/>
  <c r="AP32" i="1" s="1"/>
  <c r="AS17" i="1" l="1"/>
  <c r="AS32" i="1" s="1"/>
  <c r="AU32" i="1"/>
  <c r="AY17" i="1"/>
  <c r="AY32" i="1" s="1"/>
  <c r="V33" i="1"/>
  <c r="Y34" i="1" s="1"/>
  <c r="Y35" i="1"/>
  <c r="Y36" i="1" s="1"/>
</calcChain>
</file>

<file path=xl/sharedStrings.xml><?xml version="1.0" encoding="utf-8"?>
<sst xmlns="http://schemas.openxmlformats.org/spreadsheetml/2006/main" count="380" uniqueCount="206">
  <si>
    <t>Келісемін</t>
  </si>
  <si>
    <t>Бекітемін  :</t>
  </si>
  <si>
    <t xml:space="preserve">Тарбағатай аудандық білім беру </t>
  </si>
  <si>
    <t xml:space="preserve">Ақжар балалар саз мектебінің </t>
  </si>
  <si>
    <t>бөлімінің басшысы  ______________________   Дауытбаева С</t>
  </si>
  <si>
    <t>директоры                                                          Кабатаева А</t>
  </si>
  <si>
    <t>КММ     " Ақжар балалар Саз мектебі"</t>
  </si>
  <si>
    <t xml:space="preserve">          01 қыркүйек 2023  жылға   арналған   тарификация  кестесі</t>
  </si>
  <si>
    <t>№</t>
  </si>
  <si>
    <t>Аты-жөні</t>
  </si>
  <si>
    <t>Лауазымы</t>
  </si>
  <si>
    <t>Дипломы бойынша білімі</t>
  </si>
  <si>
    <t>Педагогикалық еңбек өтілі</t>
  </si>
  <si>
    <t>Жүргізетін пәні</t>
  </si>
  <si>
    <t>Санаттың болуы: пәндер бойынша санаты, берілген күні және аяқталу мерзімі</t>
  </si>
  <si>
    <t>Лауазымдық санаты</t>
  </si>
  <si>
    <t>коэф</t>
  </si>
  <si>
    <t>Аптағы сағаттар саны</t>
  </si>
  <si>
    <t>Бір айдағы еңбек ақы</t>
  </si>
  <si>
    <t>Ауылдық жерде жұмыс істегені үшін</t>
  </si>
  <si>
    <t>Радиациялық қатер аумағында жұмыс істегені үшін экология</t>
  </si>
  <si>
    <t>Ерекше еңбек жағдайы үшін 10%</t>
  </si>
  <si>
    <t>Қосымша төлемдер барлығы</t>
  </si>
  <si>
    <t>Барлық айлық еңбек ақы</t>
  </si>
  <si>
    <t>Республикалық бюджет есебінен</t>
  </si>
  <si>
    <t>Жергілікті бюджет қаражаты есебінең жылдық шығындар мың теңге</t>
  </si>
  <si>
    <t>Республика бюджеті қаражаты есебінең жылдық шығындар мың теңге</t>
  </si>
  <si>
    <t>Барлығы</t>
  </si>
  <si>
    <t>Сынып</t>
  </si>
  <si>
    <t>1-4 сынып</t>
  </si>
  <si>
    <t>Жиыны</t>
  </si>
  <si>
    <t xml:space="preserve">Лауазымдық айлық еңбек ақы 100% </t>
  </si>
  <si>
    <t>Айлық</t>
  </si>
  <si>
    <t>113 Өтемақы төлемдері</t>
  </si>
  <si>
    <t xml:space="preserve">Лауазымдық айлық еңбек ақы </t>
  </si>
  <si>
    <t>Ерекше еңбек жағдайы үшін</t>
  </si>
  <si>
    <t>Педагогикалық шеберлік санаты</t>
  </si>
  <si>
    <t>111 Барлық айлық еңбек ақы</t>
  </si>
  <si>
    <t>121 Мемлекеттiк әлеуметтiк төлемдер қорына әлеуметтiк аударымдар</t>
  </si>
  <si>
    <t>122 Мемлекеттiк әлеуметтiк сақтандыру қорына әлеуметтiк аударымдар</t>
  </si>
  <si>
    <t>124 Міндетті әлеуметтік медициналық сақтандыруға аударымдар</t>
  </si>
  <si>
    <t>Педагог-зерттеуші</t>
  </si>
  <si>
    <t>Педагог-шебер</t>
  </si>
  <si>
    <t>Педагог-модератор  30%</t>
  </si>
  <si>
    <t>Педагог-сарапшы 35%</t>
  </si>
  <si>
    <t>Адам саны</t>
  </si>
  <si>
    <t>жиыны</t>
  </si>
  <si>
    <t>Кабатаева Ажар</t>
  </si>
  <si>
    <t>Мұғалім</t>
  </si>
  <si>
    <t>жоғары</t>
  </si>
  <si>
    <t>23ж 8ай</t>
  </si>
  <si>
    <t>домбыра</t>
  </si>
  <si>
    <t>В2-1</t>
  </si>
  <si>
    <t>Кожаева Меруерт</t>
  </si>
  <si>
    <t>21ж8ай</t>
  </si>
  <si>
    <t>қобыз</t>
  </si>
  <si>
    <t>Кожекова Назира</t>
  </si>
  <si>
    <t>13ж4ай</t>
  </si>
  <si>
    <t>жетіген</t>
  </si>
  <si>
    <t>Бірінші</t>
  </si>
  <si>
    <t>В2-2</t>
  </si>
  <si>
    <t>Советханов Асхат</t>
  </si>
  <si>
    <t>14ж8ай</t>
  </si>
  <si>
    <t>сольфетжио</t>
  </si>
  <si>
    <t>Смагулов Куаныш</t>
  </si>
  <si>
    <t>15ж8 ай</t>
  </si>
  <si>
    <t>екінші</t>
  </si>
  <si>
    <t>В2-3</t>
  </si>
  <si>
    <t>Мухаметжанов Аманбек</t>
  </si>
  <si>
    <t>30 ж</t>
  </si>
  <si>
    <t>муз.әдебиеті</t>
  </si>
  <si>
    <t>В2-4</t>
  </si>
  <si>
    <t>Сакенов Еламан</t>
  </si>
  <si>
    <t>арнаулы орта</t>
  </si>
  <si>
    <t>6ж11ай</t>
  </si>
  <si>
    <t>баян</t>
  </si>
  <si>
    <t>В3-3</t>
  </si>
  <si>
    <t>Ахмадиева Алмагул</t>
  </si>
  <si>
    <t>4ж8а</t>
  </si>
  <si>
    <t>кобыз</t>
  </si>
  <si>
    <t>В3-4</t>
  </si>
  <si>
    <t>Тулебаева Гулназ</t>
  </si>
  <si>
    <t>17ж</t>
  </si>
  <si>
    <t>хореограф</t>
  </si>
  <si>
    <t>Сейманов Мейрамбек</t>
  </si>
  <si>
    <t>3ж8а</t>
  </si>
  <si>
    <t>Нурмуханбетов Темирлан</t>
  </si>
  <si>
    <t>0 ж</t>
  </si>
  <si>
    <t>вокал</t>
  </si>
  <si>
    <t>Кабыкенова Назерке</t>
  </si>
  <si>
    <t xml:space="preserve"> орта</t>
  </si>
  <si>
    <t>1 ж</t>
  </si>
  <si>
    <t>виолончель</t>
  </si>
  <si>
    <t>Аянова Айдана</t>
  </si>
  <si>
    <t>5 ж7 ай</t>
  </si>
  <si>
    <t>Кенжебеков Мадияр</t>
  </si>
  <si>
    <t>0ж</t>
  </si>
  <si>
    <t>В3-5</t>
  </si>
  <si>
    <t>Оқу ісі жөніндегі орынбасар                            Кожаева М</t>
  </si>
  <si>
    <t>бөлімінің басшысы______________________   Дауытбаева С</t>
  </si>
  <si>
    <t>директоры                                                 Кабатаева А</t>
  </si>
  <si>
    <t xml:space="preserve">                                                                                                 КММ     " Ақжар балалар Саз мектебі"</t>
  </si>
  <si>
    <t>01  қаңтар   2022 жылға  арналған  мұғалімдердің  тарификациясы</t>
  </si>
  <si>
    <t>новый</t>
  </si>
  <si>
    <t>Мұғалімдердің</t>
  </si>
  <si>
    <t>қызметі</t>
  </si>
  <si>
    <t>білімі</t>
  </si>
  <si>
    <t>маман</t>
  </si>
  <si>
    <t>санаты</t>
  </si>
  <si>
    <t>пед</t>
  </si>
  <si>
    <t>группа</t>
  </si>
  <si>
    <t>коэф.</t>
  </si>
  <si>
    <t>еңбек</t>
  </si>
  <si>
    <t>апта сағ.саны жуктеме</t>
  </si>
  <si>
    <t>10%үстеме</t>
  </si>
  <si>
    <t>экол</t>
  </si>
  <si>
    <t>айлық еңбекақы</t>
  </si>
  <si>
    <t>жылдық еңбекақы</t>
  </si>
  <si>
    <t>компенсация</t>
  </si>
  <si>
    <t>соц.налог</t>
  </si>
  <si>
    <t>соц.отчис</t>
  </si>
  <si>
    <t>мед</t>
  </si>
  <si>
    <t>аты,тегі</t>
  </si>
  <si>
    <t>дығы</t>
  </si>
  <si>
    <t>өтілі</t>
  </si>
  <si>
    <t>ақысы</t>
  </si>
  <si>
    <t>ақы 1-4</t>
  </si>
  <si>
    <t>ауылдық</t>
  </si>
  <si>
    <t>лауаз.жалақы</t>
  </si>
  <si>
    <t>(январь-декабрь)</t>
  </si>
  <si>
    <t>мұғалім</t>
  </si>
  <si>
    <t>домбыр</t>
  </si>
  <si>
    <t>22ж</t>
  </si>
  <si>
    <t>жетиген</t>
  </si>
  <si>
    <t>бірінші</t>
  </si>
  <si>
    <t>12ж4а</t>
  </si>
  <si>
    <t>сольф , вокал</t>
  </si>
  <si>
    <t>13ж8ж</t>
  </si>
  <si>
    <t>13ж8а</t>
  </si>
  <si>
    <t>муз әдеб</t>
  </si>
  <si>
    <t>25ж6а</t>
  </si>
  <si>
    <t>арн.орта</t>
  </si>
  <si>
    <t>ж4 а</t>
  </si>
  <si>
    <t>хореграф</t>
  </si>
  <si>
    <t>3ж1а</t>
  </si>
  <si>
    <t>Ахмадиева А</t>
  </si>
  <si>
    <t>оркестр</t>
  </si>
  <si>
    <t>3ж8 л</t>
  </si>
  <si>
    <t>Тулебаева Г</t>
  </si>
  <si>
    <t>с 16л</t>
  </si>
  <si>
    <t>Кажаева</t>
  </si>
  <si>
    <t>20л</t>
  </si>
  <si>
    <t>2л</t>
  </si>
  <si>
    <t>Жилкибаева Ажар</t>
  </si>
  <si>
    <t>жо5ары</t>
  </si>
  <si>
    <t>хор</t>
  </si>
  <si>
    <t>14л</t>
  </si>
  <si>
    <t>ИТОГО</t>
  </si>
  <si>
    <t>Оқу ісі жөніндегі орынбасар:                                Кожаева М</t>
  </si>
  <si>
    <t>Бас есепші                                                                  З.Сағатбек</t>
  </si>
  <si>
    <t>01  қыркүйек    2023 жылға  арналған  штат кестесі</t>
  </si>
  <si>
    <t>разряд</t>
  </si>
  <si>
    <t>штат.бірлік саны</t>
  </si>
  <si>
    <t xml:space="preserve">зияндылық </t>
  </si>
  <si>
    <t>Қосымша ақы 30%</t>
  </si>
  <si>
    <t>Қосымша ақы</t>
  </si>
  <si>
    <t>Разница 23%</t>
  </si>
  <si>
    <t>Ф И О</t>
  </si>
  <si>
    <t xml:space="preserve">ақы </t>
  </si>
  <si>
    <t>түнгі 50%</t>
  </si>
  <si>
    <t>мейрам кунд</t>
  </si>
  <si>
    <t xml:space="preserve"> </t>
  </si>
  <si>
    <t>директор</t>
  </si>
  <si>
    <t>20ж</t>
  </si>
  <si>
    <t>А-1-2</t>
  </si>
  <si>
    <t xml:space="preserve">орынбасар </t>
  </si>
  <si>
    <t>19ж4а</t>
  </si>
  <si>
    <t>А1-2-1</t>
  </si>
  <si>
    <t>Сағатбек Зайра</t>
  </si>
  <si>
    <t>бас есепші</t>
  </si>
  <si>
    <t>финансист</t>
  </si>
  <si>
    <t>33л</t>
  </si>
  <si>
    <t>А-2-2</t>
  </si>
  <si>
    <t>есепші</t>
  </si>
  <si>
    <t>С-2</t>
  </si>
  <si>
    <t>Сулейменова А</t>
  </si>
  <si>
    <t>іс  жүргіуші</t>
  </si>
  <si>
    <t>9ж7а</t>
  </si>
  <si>
    <t xml:space="preserve">Д </t>
  </si>
  <si>
    <t>Оспанова Н</t>
  </si>
  <si>
    <t>спец по прг обес</t>
  </si>
  <si>
    <t>7ж</t>
  </si>
  <si>
    <t>разд 2</t>
  </si>
  <si>
    <t>Алжапарова Б</t>
  </si>
  <si>
    <t>вахтер</t>
  </si>
  <si>
    <t>35ж</t>
  </si>
  <si>
    <t>Слямбеков М</t>
  </si>
  <si>
    <t>зав.склад</t>
  </si>
  <si>
    <t xml:space="preserve">20ж </t>
  </si>
  <si>
    <t>Шакерова Б</t>
  </si>
  <si>
    <t>еден жуушы</t>
  </si>
  <si>
    <t>30ж</t>
  </si>
  <si>
    <t>Авкурова Б</t>
  </si>
  <si>
    <t>Пушпакбаев Е</t>
  </si>
  <si>
    <t>жұмысшы</t>
  </si>
  <si>
    <t>кастюмер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</si>
</sst>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4" fillId="2" borderId="0" xfId="0" applyNumberFormat="1" applyFont="1" applyFill="1"/>
    <xf numFmtId="0" fontId="3" fillId="2" borderId="1" xfId="0" applyFont="1" applyFill="1" applyBorder="1" applyAlignment="1">
      <alignment wrapText="1"/>
    </xf>
    <xf numFmtId="0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center" vertical="center"/>
    </xf>
    <xf numFmtId="1" fontId="7" fillId="2" borderId="0" xfId="0" applyNumberFormat="1" applyFont="1" applyFill="1"/>
    <xf numFmtId="0" fontId="7" fillId="2" borderId="0" xfId="0" applyNumberFormat="1" applyFont="1" applyFill="1"/>
    <xf numFmtId="0" fontId="6" fillId="0" borderId="0" xfId="0" applyFont="1"/>
    <xf numFmtId="1" fontId="6" fillId="0" borderId="0" xfId="0" applyNumberFormat="1" applyFont="1"/>
    <xf numFmtId="0" fontId="8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9" fillId="0" borderId="2" xfId="0" applyFont="1" applyFill="1" applyBorder="1"/>
    <xf numFmtId="0" fontId="6" fillId="0" borderId="2" xfId="0" applyFont="1" applyFill="1" applyBorder="1"/>
    <xf numFmtId="0" fontId="9" fillId="0" borderId="1" xfId="0" applyFont="1" applyFill="1" applyBorder="1" applyAlignment="1">
      <alignment wrapText="1"/>
    </xf>
    <xf numFmtId="9" fontId="6" fillId="0" borderId="2" xfId="0" applyNumberFormat="1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9" fillId="0" borderId="7" xfId="0" applyFont="1" applyBorder="1"/>
    <xf numFmtId="49" fontId="6" fillId="0" borderId="1" xfId="0" applyNumberFormat="1" applyFont="1" applyBorder="1" applyAlignment="1">
      <alignment wrapText="1"/>
    </xf>
    <xf numFmtId="0" fontId="6" fillId="0" borderId="7" xfId="0" applyFont="1" applyFill="1" applyBorder="1"/>
    <xf numFmtId="0" fontId="6" fillId="0" borderId="7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9" fillId="0" borderId="1" xfId="0" applyFont="1" applyBorder="1"/>
    <xf numFmtId="1" fontId="6" fillId="0" borderId="1" xfId="0" applyNumberFormat="1" applyFont="1" applyBorder="1"/>
    <xf numFmtId="1" fontId="8" fillId="0" borderId="1" xfId="0" applyNumberFormat="1" applyFont="1" applyBorder="1"/>
    <xf numFmtId="1" fontId="8" fillId="0" borderId="7" xfId="0" applyNumberFormat="1" applyFont="1" applyBorder="1"/>
    <xf numFmtId="0" fontId="9" fillId="0" borderId="1" xfId="0" applyFont="1" applyBorder="1" applyAlignment="1">
      <alignment wrapText="1"/>
    </xf>
    <xf numFmtId="0" fontId="8" fillId="0" borderId="1" xfId="0" applyFont="1" applyBorder="1"/>
    <xf numFmtId="1" fontId="10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9" fontId="6" fillId="0" borderId="2" xfId="0" applyNumberFormat="1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11" fillId="0" borderId="0" xfId="0" applyFont="1"/>
    <xf numFmtId="0" fontId="0" fillId="0" borderId="2" xfId="0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8" xfId="0" applyFill="1" applyBorder="1" applyAlignment="1">
      <alignment wrapText="1"/>
    </xf>
    <xf numFmtId="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12" fillId="0" borderId="7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7" xfId="0" applyFill="1" applyBorder="1" applyAlignment="1">
      <alignment wrapText="1"/>
    </xf>
    <xf numFmtId="9" fontId="0" fillId="0" borderId="7" xfId="0" applyNumberFormat="1" applyFill="1" applyBorder="1" applyAlignment="1">
      <alignment wrapText="1"/>
    </xf>
    <xf numFmtId="0" fontId="0" fillId="0" borderId="7" xfId="0" applyFill="1" applyBorder="1" applyAlignment="1">
      <alignment horizontal="center" wrapText="1"/>
    </xf>
    <xf numFmtId="0" fontId="0" fillId="0" borderId="9" xfId="0" applyBorder="1" applyAlignment="1">
      <alignment wrapText="1"/>
    </xf>
    <xf numFmtId="9" fontId="0" fillId="0" borderId="7" xfId="0" applyNumberForma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1" fontId="0" fillId="0" borderId="1" xfId="0" applyNumberFormat="1" applyBorder="1"/>
    <xf numFmtId="1" fontId="11" fillId="0" borderId="1" xfId="0" applyNumberFormat="1" applyFont="1" applyBorder="1"/>
    <xf numFmtId="1" fontId="0" fillId="0" borderId="1" xfId="0" applyNumberFormat="1" applyFont="1" applyBorder="1"/>
    <xf numFmtId="1" fontId="11" fillId="0" borderId="7" xfId="0" applyNumberFormat="1" applyFont="1" applyBorder="1"/>
    <xf numFmtId="0" fontId="13" fillId="0" borderId="1" xfId="0" applyFont="1" applyBorder="1"/>
    <xf numFmtId="49" fontId="12" fillId="0" borderId="1" xfId="0" applyNumberFormat="1" applyFont="1" applyBorder="1"/>
    <xf numFmtId="0" fontId="11" fillId="0" borderId="1" xfId="0" applyFont="1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1052;&#1059;&#1047;%202023%20&#1075;&#1086;&#1076;/&#1058;&#1072;&#1088;&#1080;&#1092;&#1080;&#1082;&#1072;&#1094;&#1080;&#1103;%2001.09.2022&#1075;%20&#1052;&#1050;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64;&#1090;&#1072;&#1090;%20&#1089;&#1074;&#1086;&#1076;%20&#1090;&#1072;&#1088;&#1080;&#1092;%20&#1089;&#1077;&#1085;&#1090;&#1103;&#1073;&#1088;&#1100;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г1"/>
      <sheetName val="шт ст"/>
      <sheetName val="штат"/>
      <sheetName val="хоз2"/>
      <sheetName val="тари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икация 01.09.23"/>
      <sheetName val="ШТАТ 019123"/>
      <sheetName val="тариф 01092023Н"/>
      <sheetName val="Лист2"/>
      <sheetName val="Лист3"/>
      <sheetName val="штат 01.09.2023тН"/>
    </sheetNames>
    <sheetDataSet>
      <sheetData sheetId="0"/>
      <sheetData sheetId="1"/>
      <sheetData sheetId="2">
        <row r="25">
          <cell r="U25">
            <v>2688651.1737500001</v>
          </cell>
          <cell r="V25">
            <v>32263814.085000005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A37"/>
  <sheetViews>
    <sheetView topLeftCell="A4" workbookViewId="0">
      <selection activeCell="E2" sqref="E2"/>
    </sheetView>
  </sheetViews>
  <sheetFormatPr defaultRowHeight="15" x14ac:dyDescent="0.25"/>
  <sheetData>
    <row r="4" spans="2:53" x14ac:dyDescent="0.25">
      <c r="B4" s="1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 t="s">
        <v>1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  <c r="AQ4" s="1"/>
      <c r="AR4" s="1"/>
      <c r="AS4" s="1"/>
      <c r="AT4" s="3"/>
      <c r="AU4" s="3"/>
      <c r="AV4" s="2"/>
      <c r="AW4" s="2"/>
      <c r="AX4" s="2"/>
      <c r="AY4" s="2"/>
      <c r="AZ4" s="2"/>
      <c r="BA4" s="2"/>
    </row>
    <row r="5" spans="2:53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 t="s">
        <v>3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"/>
      <c r="AO5" s="1"/>
      <c r="AP5" s="1"/>
      <c r="AQ5" s="1"/>
      <c r="AR5" s="1"/>
      <c r="AS5" s="1"/>
      <c r="AT5" s="3"/>
      <c r="AU5" s="3"/>
      <c r="AV5" s="2"/>
      <c r="AW5" s="2"/>
      <c r="AX5" s="2"/>
      <c r="AY5" s="2"/>
      <c r="AZ5" s="2"/>
      <c r="BA5" s="2"/>
    </row>
    <row r="6" spans="2:53" x14ac:dyDescent="0.25">
      <c r="B6" s="1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 t="s">
        <v>5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"/>
      <c r="AO6" s="1"/>
      <c r="AP6" s="1"/>
      <c r="AQ6" s="1"/>
      <c r="AR6" s="1"/>
      <c r="AS6" s="1"/>
      <c r="AT6" s="3"/>
      <c r="AU6" s="3"/>
      <c r="AV6" s="2"/>
      <c r="AW6" s="2"/>
      <c r="AX6" s="2"/>
      <c r="AY6" s="2"/>
      <c r="AZ6" s="2"/>
      <c r="BA6" s="2"/>
    </row>
    <row r="7" spans="2:53" x14ac:dyDescent="0.2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  <c r="T7" s="1"/>
      <c r="U7" s="1"/>
      <c r="V7" s="1"/>
      <c r="W7" s="2"/>
      <c r="X7" s="2"/>
      <c r="Y7" s="2"/>
      <c r="Z7" s="2"/>
      <c r="AA7" s="2"/>
      <c r="AB7" s="2"/>
      <c r="AC7" s="2"/>
      <c r="AD7" s="2"/>
      <c r="AE7" s="1"/>
      <c r="AF7" s="2"/>
      <c r="AG7" s="2"/>
      <c r="AH7" s="2"/>
      <c r="AI7" s="2"/>
      <c r="AJ7" s="2"/>
      <c r="AK7" s="2"/>
      <c r="AL7" s="2"/>
      <c r="AM7" s="2"/>
      <c r="AN7" s="1"/>
      <c r="AO7" s="1"/>
      <c r="AP7" s="1"/>
      <c r="AQ7" s="1"/>
      <c r="AR7" s="1"/>
      <c r="AS7" s="1"/>
      <c r="AT7" s="3"/>
      <c r="AU7" s="3"/>
      <c r="AV7" s="2"/>
      <c r="AW7" s="2"/>
      <c r="AX7" s="2"/>
      <c r="AY7" s="2"/>
      <c r="AZ7" s="2"/>
      <c r="BA7" s="2"/>
    </row>
    <row r="8" spans="2:53" x14ac:dyDescent="0.25">
      <c r="B8" s="1"/>
      <c r="C8" s="2"/>
      <c r="D8" s="2"/>
      <c r="E8" s="2"/>
      <c r="F8" s="2"/>
      <c r="G8" s="2"/>
      <c r="H8" s="2"/>
      <c r="I8" s="2"/>
      <c r="J8" s="1" t="s">
        <v>6</v>
      </c>
      <c r="K8" s="1"/>
      <c r="L8" s="1"/>
      <c r="M8" s="1"/>
      <c r="N8" s="1"/>
      <c r="O8" s="1"/>
      <c r="P8" s="2"/>
      <c r="Q8" s="2"/>
      <c r="R8" s="1"/>
      <c r="S8" s="2"/>
      <c r="T8" s="2"/>
      <c r="U8" s="2"/>
      <c r="V8" s="2"/>
      <c r="W8" s="2"/>
      <c r="X8" s="2"/>
      <c r="Y8" s="2"/>
      <c r="Z8" s="1"/>
      <c r="AA8" s="1"/>
      <c r="AB8" s="2"/>
      <c r="AC8" s="2"/>
      <c r="AD8" s="2"/>
      <c r="AE8" s="1"/>
      <c r="AF8" s="2"/>
      <c r="AG8" s="2"/>
      <c r="AH8" s="2"/>
      <c r="AI8" s="2"/>
      <c r="AJ8" s="2"/>
      <c r="AK8" s="2"/>
      <c r="AL8" s="2"/>
      <c r="AM8" s="2"/>
      <c r="AN8" s="1"/>
      <c r="AO8" s="1"/>
      <c r="AP8" s="1"/>
      <c r="AQ8" s="1"/>
      <c r="AR8" s="1"/>
      <c r="AS8" s="1"/>
      <c r="AT8" s="3"/>
      <c r="AU8" s="3"/>
      <c r="AV8" s="2"/>
      <c r="AW8" s="2"/>
      <c r="AX8" s="2"/>
      <c r="AY8" s="2"/>
      <c r="AZ8" s="2"/>
      <c r="BA8" s="2"/>
    </row>
    <row r="9" spans="2:53" x14ac:dyDescent="0.25">
      <c r="B9" s="1"/>
      <c r="C9" s="2"/>
      <c r="D9" s="2"/>
      <c r="E9" s="2"/>
      <c r="F9" s="2"/>
      <c r="G9" s="2"/>
      <c r="H9" s="2"/>
      <c r="I9" s="1" t="s">
        <v>7</v>
      </c>
      <c r="J9" s="1"/>
      <c r="K9" s="1"/>
      <c r="L9" s="1"/>
      <c r="M9" s="1"/>
      <c r="N9" s="1"/>
      <c r="O9" s="3"/>
      <c r="P9" s="2"/>
      <c r="Q9" s="2"/>
      <c r="R9" s="4"/>
      <c r="S9" s="2"/>
      <c r="T9" s="2"/>
      <c r="U9" s="2"/>
      <c r="V9" s="2"/>
      <c r="W9" s="2"/>
      <c r="X9" s="2"/>
      <c r="Y9" s="2"/>
      <c r="Z9" s="3"/>
      <c r="AA9" s="3"/>
      <c r="AB9" s="2"/>
      <c r="AC9" s="2"/>
      <c r="AD9" s="2"/>
      <c r="AE9" s="1"/>
      <c r="AF9" s="2"/>
      <c r="AG9" s="2"/>
      <c r="AH9" s="2"/>
      <c r="AI9" s="2"/>
      <c r="AJ9" s="2"/>
      <c r="AK9" s="2"/>
      <c r="AL9" s="2"/>
      <c r="AM9" s="2"/>
      <c r="AN9" s="1"/>
      <c r="AO9" s="1"/>
      <c r="AP9" s="1"/>
      <c r="AQ9" s="1"/>
      <c r="AR9" s="1"/>
      <c r="AS9" s="1"/>
      <c r="AT9" s="3"/>
      <c r="AU9" s="3"/>
      <c r="AV9" s="2"/>
      <c r="AW9" s="2"/>
      <c r="AX9" s="2"/>
      <c r="AY9" s="2"/>
      <c r="AZ9" s="2"/>
      <c r="BA9" s="2"/>
    </row>
    <row r="10" spans="2:53" x14ac:dyDescent="0.2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">
        <v>3450</v>
      </c>
      <c r="T10" s="1"/>
      <c r="U10" s="1"/>
      <c r="V10" s="1"/>
      <c r="W10" s="2"/>
      <c r="X10" s="2"/>
      <c r="Y10" s="2"/>
      <c r="Z10" s="2"/>
      <c r="AA10" s="2"/>
      <c r="AB10" s="2"/>
      <c r="AC10" s="2"/>
      <c r="AD10" s="2"/>
      <c r="AE10" s="1"/>
      <c r="AF10" s="2"/>
      <c r="AG10" s="2"/>
      <c r="AH10" s="2"/>
      <c r="AI10" s="2"/>
      <c r="AJ10" s="2"/>
      <c r="AK10" s="2"/>
      <c r="AL10" s="2"/>
      <c r="AM10" s="2"/>
      <c r="AN10" s="1"/>
      <c r="AO10" s="1"/>
      <c r="AP10" s="1"/>
      <c r="AQ10" s="1"/>
      <c r="AR10" s="1"/>
      <c r="AS10" s="1"/>
      <c r="AT10" s="3"/>
      <c r="AU10" s="3"/>
      <c r="AV10" s="2"/>
      <c r="AW10" s="2"/>
      <c r="AX10" s="2"/>
      <c r="AY10" s="2"/>
      <c r="AZ10" s="2"/>
      <c r="BA10" s="2"/>
    </row>
    <row r="11" spans="2:5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x14ac:dyDescent="0.25">
      <c r="B12" s="51" t="s">
        <v>8</v>
      </c>
      <c r="C12" s="51" t="s">
        <v>9</v>
      </c>
      <c r="D12" s="52" t="s">
        <v>10</v>
      </c>
      <c r="E12" s="48" t="s">
        <v>11</v>
      </c>
      <c r="F12" s="48" t="s">
        <v>12</v>
      </c>
      <c r="G12" s="48" t="s">
        <v>13</v>
      </c>
      <c r="H12" s="48" t="s">
        <v>14</v>
      </c>
      <c r="I12" s="48" t="s">
        <v>15</v>
      </c>
      <c r="J12" s="48" t="s">
        <v>16</v>
      </c>
      <c r="K12" s="55" t="s">
        <v>17</v>
      </c>
      <c r="L12" s="55"/>
      <c r="M12" s="56" t="s">
        <v>18</v>
      </c>
      <c r="N12" s="57"/>
      <c r="O12" s="55" t="s">
        <v>19</v>
      </c>
      <c r="P12" s="55" t="s">
        <v>20</v>
      </c>
      <c r="Q12" s="55"/>
      <c r="R12" s="55" t="s">
        <v>21</v>
      </c>
      <c r="S12" s="55" t="s">
        <v>22</v>
      </c>
      <c r="T12" s="55" t="s">
        <v>23</v>
      </c>
      <c r="U12" s="51"/>
      <c r="V12" s="51">
        <v>121</v>
      </c>
      <c r="W12" s="51">
        <v>122</v>
      </c>
      <c r="X12" s="51">
        <v>124</v>
      </c>
      <c r="Y12" s="51">
        <v>113</v>
      </c>
      <c r="Z12" s="62" t="s">
        <v>24</v>
      </c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4"/>
      <c r="AN12" s="55" t="s">
        <v>25</v>
      </c>
      <c r="AO12" s="55"/>
      <c r="AP12" s="55"/>
      <c r="AQ12" s="55"/>
      <c r="AR12" s="55"/>
      <c r="AS12" s="55"/>
      <c r="AT12" s="55" t="s">
        <v>26</v>
      </c>
      <c r="AU12" s="55"/>
      <c r="AV12" s="55"/>
      <c r="AW12" s="55"/>
      <c r="AX12" s="55"/>
      <c r="AY12" s="55"/>
      <c r="AZ12" s="6"/>
      <c r="BA12" s="6"/>
    </row>
    <row r="13" spans="2:53" x14ac:dyDescent="0.25">
      <c r="B13" s="51"/>
      <c r="C13" s="51"/>
      <c r="D13" s="53"/>
      <c r="E13" s="49"/>
      <c r="F13" s="49"/>
      <c r="G13" s="49"/>
      <c r="H13" s="49"/>
      <c r="I13" s="49"/>
      <c r="J13" s="49"/>
      <c r="K13" s="58" t="s">
        <v>27</v>
      </c>
      <c r="L13" s="58" t="s">
        <v>28</v>
      </c>
      <c r="M13" s="59" t="s">
        <v>29</v>
      </c>
      <c r="N13" s="51" t="s">
        <v>30</v>
      </c>
      <c r="O13" s="55"/>
      <c r="P13" s="55"/>
      <c r="Q13" s="55"/>
      <c r="R13" s="55"/>
      <c r="S13" s="55"/>
      <c r="T13" s="55"/>
      <c r="U13" s="51"/>
      <c r="V13" s="51"/>
      <c r="W13" s="51"/>
      <c r="X13" s="51"/>
      <c r="Y13" s="51"/>
      <c r="Z13" s="62" t="s">
        <v>31</v>
      </c>
      <c r="AA13" s="63"/>
      <c r="AB13" s="64"/>
      <c r="AC13" s="63"/>
      <c r="AD13" s="63"/>
      <c r="AE13" s="63"/>
      <c r="AF13" s="63"/>
      <c r="AG13" s="63"/>
      <c r="AH13" s="56" t="s">
        <v>32</v>
      </c>
      <c r="AI13" s="65"/>
      <c r="AJ13" s="65"/>
      <c r="AK13" s="65"/>
      <c r="AL13" s="57"/>
      <c r="AM13" s="48" t="s">
        <v>33</v>
      </c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6"/>
      <c r="BA13" s="6"/>
    </row>
    <row r="14" spans="2:53" x14ac:dyDescent="0.25">
      <c r="B14" s="51"/>
      <c r="C14" s="51"/>
      <c r="D14" s="53"/>
      <c r="E14" s="49"/>
      <c r="F14" s="49"/>
      <c r="G14" s="49"/>
      <c r="H14" s="49"/>
      <c r="I14" s="49"/>
      <c r="J14" s="49"/>
      <c r="K14" s="58"/>
      <c r="L14" s="58"/>
      <c r="M14" s="60"/>
      <c r="N14" s="51"/>
      <c r="O14" s="55"/>
      <c r="P14" s="55"/>
      <c r="Q14" s="55"/>
      <c r="R14" s="55"/>
      <c r="S14" s="55"/>
      <c r="T14" s="55"/>
      <c r="U14" s="51"/>
      <c r="V14" s="51"/>
      <c r="W14" s="51"/>
      <c r="X14" s="51"/>
      <c r="Y14" s="51"/>
      <c r="Z14" s="48" t="s">
        <v>34</v>
      </c>
      <c r="AA14" s="48" t="s">
        <v>19</v>
      </c>
      <c r="AB14" s="48" t="s">
        <v>35</v>
      </c>
      <c r="AC14" s="56" t="s">
        <v>36</v>
      </c>
      <c r="AD14" s="65"/>
      <c r="AE14" s="65"/>
      <c r="AF14" s="65"/>
      <c r="AG14" s="57"/>
      <c r="AH14" s="48" t="s">
        <v>37</v>
      </c>
      <c r="AI14" s="7"/>
      <c r="AJ14" s="48" t="s">
        <v>38</v>
      </c>
      <c r="AK14" s="48" t="s">
        <v>39</v>
      </c>
      <c r="AL14" s="48" t="s">
        <v>40</v>
      </c>
      <c r="AM14" s="49"/>
      <c r="AN14" s="55" t="s">
        <v>37</v>
      </c>
      <c r="AO14" s="55" t="s">
        <v>38</v>
      </c>
      <c r="AP14" s="55" t="s">
        <v>39</v>
      </c>
      <c r="AQ14" s="55" t="s">
        <v>40</v>
      </c>
      <c r="AR14" s="55" t="s">
        <v>33</v>
      </c>
      <c r="AS14" s="55" t="s">
        <v>30</v>
      </c>
      <c r="AT14" s="55" t="s">
        <v>37</v>
      </c>
      <c r="AU14" s="55" t="s">
        <v>38</v>
      </c>
      <c r="AV14" s="55" t="s">
        <v>39</v>
      </c>
      <c r="AW14" s="55" t="s">
        <v>40</v>
      </c>
      <c r="AX14" s="55" t="s">
        <v>33</v>
      </c>
      <c r="AY14" s="55" t="s">
        <v>30</v>
      </c>
      <c r="AZ14" s="6"/>
      <c r="BA14" s="6"/>
    </row>
    <row r="15" spans="2:53" x14ac:dyDescent="0.25">
      <c r="B15" s="51"/>
      <c r="C15" s="51"/>
      <c r="D15" s="53"/>
      <c r="E15" s="49"/>
      <c r="F15" s="49"/>
      <c r="G15" s="49"/>
      <c r="H15" s="49"/>
      <c r="I15" s="49"/>
      <c r="J15" s="49"/>
      <c r="K15" s="58"/>
      <c r="L15" s="58"/>
      <c r="M15" s="60"/>
      <c r="N15" s="51"/>
      <c r="O15" s="55"/>
      <c r="P15" s="55"/>
      <c r="Q15" s="55"/>
      <c r="R15" s="55"/>
      <c r="S15" s="55"/>
      <c r="T15" s="55"/>
      <c r="U15" s="51"/>
      <c r="V15" s="51"/>
      <c r="W15" s="51"/>
      <c r="X15" s="51"/>
      <c r="Y15" s="51"/>
      <c r="Z15" s="49"/>
      <c r="AA15" s="49"/>
      <c r="AB15" s="49"/>
      <c r="AC15" s="48" t="s">
        <v>41</v>
      </c>
      <c r="AD15" s="48" t="s">
        <v>42</v>
      </c>
      <c r="AE15" s="48" t="s">
        <v>43</v>
      </c>
      <c r="AF15" s="48" t="s">
        <v>44</v>
      </c>
      <c r="AG15" s="52" t="s">
        <v>30</v>
      </c>
      <c r="AH15" s="49"/>
      <c r="AI15" s="8"/>
      <c r="AJ15" s="49"/>
      <c r="AK15" s="49"/>
      <c r="AL15" s="49"/>
      <c r="AM15" s="49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6"/>
      <c r="BA15" s="6"/>
    </row>
    <row r="16" spans="2:53" ht="25.5" x14ac:dyDescent="0.25">
      <c r="B16" s="51"/>
      <c r="C16" s="51"/>
      <c r="D16" s="54"/>
      <c r="E16" s="50"/>
      <c r="F16" s="50"/>
      <c r="G16" s="50"/>
      <c r="H16" s="50"/>
      <c r="I16" s="50"/>
      <c r="J16" s="50"/>
      <c r="K16" s="58"/>
      <c r="L16" s="58"/>
      <c r="M16" s="61"/>
      <c r="N16" s="51"/>
      <c r="O16" s="55"/>
      <c r="P16" s="9" t="s">
        <v>45</v>
      </c>
      <c r="Q16" s="9" t="s">
        <v>46</v>
      </c>
      <c r="R16" s="55"/>
      <c r="S16" s="55"/>
      <c r="T16" s="55"/>
      <c r="U16" s="51"/>
      <c r="V16" s="51"/>
      <c r="W16" s="51"/>
      <c r="X16" s="51"/>
      <c r="Y16" s="51"/>
      <c r="Z16" s="50"/>
      <c r="AA16" s="50"/>
      <c r="AB16" s="50"/>
      <c r="AC16" s="50"/>
      <c r="AD16" s="50"/>
      <c r="AE16" s="50"/>
      <c r="AF16" s="50"/>
      <c r="AG16" s="54"/>
      <c r="AH16" s="50"/>
      <c r="AI16" s="10"/>
      <c r="AJ16" s="50"/>
      <c r="AK16" s="50"/>
      <c r="AL16" s="50"/>
      <c r="AM16" s="50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6"/>
      <c r="BA16" s="6"/>
    </row>
    <row r="17" spans="2:53" x14ac:dyDescent="0.25">
      <c r="B17" s="11">
        <v>1</v>
      </c>
      <c r="C17" s="12" t="s">
        <v>47</v>
      </c>
      <c r="D17" s="13" t="s">
        <v>48</v>
      </c>
      <c r="E17" s="13" t="s">
        <v>49</v>
      </c>
      <c r="F17" s="13" t="s">
        <v>50</v>
      </c>
      <c r="G17" s="13" t="s">
        <v>51</v>
      </c>
      <c r="H17" s="13" t="s">
        <v>49</v>
      </c>
      <c r="I17" s="13" t="s">
        <v>52</v>
      </c>
      <c r="J17" s="13">
        <v>5.32</v>
      </c>
      <c r="K17" s="14">
        <f>L17</f>
        <v>9</v>
      </c>
      <c r="L17" s="14">
        <v>9</v>
      </c>
      <c r="M17" s="15">
        <f>((17697*J17)/18)*K17</f>
        <v>47074.020000000004</v>
      </c>
      <c r="N17" s="15">
        <f>SUM(M17:M17)</f>
        <v>47074.020000000004</v>
      </c>
      <c r="O17" s="15">
        <f>N17*25%</f>
        <v>11768.505000000001</v>
      </c>
      <c r="P17" s="15"/>
      <c r="Q17" s="15"/>
      <c r="R17" s="15">
        <f>(N17+O17)*10%</f>
        <v>5884.2525000000014</v>
      </c>
      <c r="S17" s="15">
        <f>R17+Q17+O17</f>
        <v>17652.757500000003</v>
      </c>
      <c r="T17" s="15">
        <f>S17+N17</f>
        <v>64726.777500000011</v>
      </c>
      <c r="U17" s="15">
        <f>(T17-T17*10%-Q17)</f>
        <v>58254.099750000008</v>
      </c>
      <c r="V17" s="15">
        <f>U17*6%</f>
        <v>3495.2459850000005</v>
      </c>
      <c r="W17" s="15">
        <f>U17*3.5%</f>
        <v>2038.8934912500006</v>
      </c>
      <c r="X17" s="15">
        <f t="shared" ref="X17:X29" si="0">T17*3%</f>
        <v>1941.8033250000003</v>
      </c>
      <c r="Y17" s="15">
        <f t="shared" ref="Y17:Y29" si="1">N17+O17</f>
        <v>58842.525000000009</v>
      </c>
      <c r="Z17" s="15">
        <f>(N17)*2+Q17</f>
        <v>94148.040000000008</v>
      </c>
      <c r="AA17" s="15">
        <f>Z17*25%</f>
        <v>23537.010000000002</v>
      </c>
      <c r="AB17" s="15">
        <f>(AA17+Z17)*10%</f>
        <v>11768.505000000003</v>
      </c>
      <c r="AC17" s="15">
        <f>(Z17+AA17)*40%</f>
        <v>47074.020000000011</v>
      </c>
      <c r="AD17" s="15"/>
      <c r="AE17" s="15"/>
      <c r="AF17" s="15"/>
      <c r="AG17" s="15">
        <f>AF17+AE17++AD17+AC17</f>
        <v>47074.020000000011</v>
      </c>
      <c r="AH17" s="15">
        <f>Z17+AA17+AB17+AG17+Q17</f>
        <v>176527.57500000004</v>
      </c>
      <c r="AI17" s="15">
        <f>AH17-(AH17*10%)-Q17</f>
        <v>158874.81750000003</v>
      </c>
      <c r="AJ17" s="15">
        <f>AI17*6%</f>
        <v>9532.489050000002</v>
      </c>
      <c r="AK17" s="15">
        <f>AI17*3.5%</f>
        <v>5560.6186125000013</v>
      </c>
      <c r="AL17" s="15">
        <f>AH17*3%</f>
        <v>5295.8272500000012</v>
      </c>
      <c r="AM17" s="15">
        <f t="shared" ref="AM17:AM29" si="2">Z17+AA17</f>
        <v>117685.05000000002</v>
      </c>
      <c r="AN17" s="16">
        <f t="shared" ref="AN17:AN29" si="3">(T17/1000)*12</f>
        <v>776.72133000000008</v>
      </c>
      <c r="AO17" s="16">
        <f>(V17/1000)*12</f>
        <v>41.942951820000005</v>
      </c>
      <c r="AP17" s="16">
        <f t="shared" ref="AP17:AQ29" si="4">(W17/1000)*12</f>
        <v>24.466721895000006</v>
      </c>
      <c r="AQ17" s="16">
        <f t="shared" si="4"/>
        <v>23.301639900000005</v>
      </c>
      <c r="AR17" s="16">
        <f t="shared" ref="AR17:AR29" si="5">Y17/1000</f>
        <v>58.842525000000009</v>
      </c>
      <c r="AS17" s="16">
        <f>AR17+AQ17+AP17+AO17+AN17</f>
        <v>925.2751686150001</v>
      </c>
      <c r="AT17" s="16">
        <f>(AH17/1000)*12</f>
        <v>2118.3309000000004</v>
      </c>
      <c r="AU17" s="16">
        <f>AJ17/1000*12</f>
        <v>114.38986860000003</v>
      </c>
      <c r="AV17" s="16">
        <f>(AK17/1000)*12</f>
        <v>66.727423350000024</v>
      </c>
      <c r="AW17" s="16">
        <f>(AL17/1000)*12</f>
        <v>63.549927000000011</v>
      </c>
      <c r="AX17" s="16">
        <f>AM17/1000</f>
        <v>117.68505000000002</v>
      </c>
      <c r="AY17" s="16">
        <f>AT17+AU17+AV17+AW17+AX17</f>
        <v>2480.6831689500009</v>
      </c>
      <c r="AZ17" s="17">
        <f>AT17+AT21+AT26</f>
        <v>7077.256304999999</v>
      </c>
      <c r="BA17" s="5"/>
    </row>
    <row r="18" spans="2:53" x14ac:dyDescent="0.25">
      <c r="B18" s="11">
        <v>2</v>
      </c>
      <c r="C18" s="12" t="s">
        <v>53</v>
      </c>
      <c r="D18" s="13" t="s">
        <v>48</v>
      </c>
      <c r="E18" s="13" t="s">
        <v>49</v>
      </c>
      <c r="F18" s="13" t="s">
        <v>54</v>
      </c>
      <c r="G18" s="13" t="s">
        <v>55</v>
      </c>
      <c r="H18" s="13" t="s">
        <v>49</v>
      </c>
      <c r="I18" s="13" t="s">
        <v>52</v>
      </c>
      <c r="J18" s="13">
        <v>5.32</v>
      </c>
      <c r="K18" s="14">
        <f>L18</f>
        <v>9</v>
      </c>
      <c r="L18" s="14">
        <v>9</v>
      </c>
      <c r="M18" s="15">
        <f t="shared" ref="M18:M31" si="6">((17697*J18)/18)*K18</f>
        <v>47074.020000000004</v>
      </c>
      <c r="N18" s="15">
        <f t="shared" ref="N18" si="7">SUM(M18:M18)</f>
        <v>47074.020000000004</v>
      </c>
      <c r="O18" s="15">
        <f>N18*25%</f>
        <v>11768.505000000001</v>
      </c>
      <c r="P18" s="15"/>
      <c r="Q18" s="15"/>
      <c r="R18" s="15">
        <f t="shared" ref="R18:R29" si="8">(N18+O18)*10%</f>
        <v>5884.2525000000014</v>
      </c>
      <c r="S18" s="15">
        <f t="shared" ref="S18:S31" si="9">R18+Q18+O18</f>
        <v>17652.757500000003</v>
      </c>
      <c r="T18" s="15">
        <f t="shared" ref="T18:T31" si="10">S18+N18</f>
        <v>64726.777500000011</v>
      </c>
      <c r="U18" s="15">
        <f>(T18-T18*10%-Q18)</f>
        <v>58254.099750000008</v>
      </c>
      <c r="V18" s="15">
        <f t="shared" ref="V18:V31" si="11">U18*6%</f>
        <v>3495.2459850000005</v>
      </c>
      <c r="W18" s="15">
        <f t="shared" ref="W18:W31" si="12">U18*3.5%</f>
        <v>2038.8934912500006</v>
      </c>
      <c r="X18" s="15">
        <f t="shared" si="0"/>
        <v>1941.8033250000003</v>
      </c>
      <c r="Y18" s="15">
        <f t="shared" si="1"/>
        <v>58842.525000000009</v>
      </c>
      <c r="Z18" s="15">
        <f>(N18)*2+Q18</f>
        <v>94148.040000000008</v>
      </c>
      <c r="AA18" s="15">
        <f>Z18*25%</f>
        <v>23537.010000000002</v>
      </c>
      <c r="AB18" s="15">
        <f t="shared" ref="AB18:AB29" si="13">(AA18+Z18)*10%</f>
        <v>11768.505000000003</v>
      </c>
      <c r="AC18" s="15">
        <f>(Z18+AA18)*40%</f>
        <v>47074.020000000011</v>
      </c>
      <c r="AD18" s="15"/>
      <c r="AE18" s="15"/>
      <c r="AF18" s="15"/>
      <c r="AG18" s="15">
        <f>AF18+AE18++AD18+AC18</f>
        <v>47074.020000000011</v>
      </c>
      <c r="AH18" s="15">
        <f t="shared" ref="AH18:AH31" si="14">Z18+AA18+AB18+AG18+Q18</f>
        <v>176527.57500000004</v>
      </c>
      <c r="AI18" s="15">
        <f t="shared" ref="AI18:AI29" si="15">AH18-(AH18*10%)-Q18</f>
        <v>158874.81750000003</v>
      </c>
      <c r="AJ18" s="15">
        <f t="shared" ref="AJ18:AJ31" si="16">AI18*6%</f>
        <v>9532.489050000002</v>
      </c>
      <c r="AK18" s="15">
        <f t="shared" ref="AK18:AK31" si="17">AI18*3.5%</f>
        <v>5560.6186125000013</v>
      </c>
      <c r="AL18" s="15">
        <f t="shared" ref="AL18:AL31" si="18">AH18*3%</f>
        <v>5295.8272500000012</v>
      </c>
      <c r="AM18" s="15">
        <f t="shared" si="2"/>
        <v>117685.05000000002</v>
      </c>
      <c r="AN18" s="16">
        <f t="shared" si="3"/>
        <v>776.72133000000008</v>
      </c>
      <c r="AO18" s="16">
        <f t="shared" ref="AO18:AQ31" si="19">(V18/1000)*12</f>
        <v>41.942951820000005</v>
      </c>
      <c r="AP18" s="16">
        <f t="shared" si="4"/>
        <v>24.466721895000006</v>
      </c>
      <c r="AQ18" s="16">
        <f t="shared" si="4"/>
        <v>23.301639900000005</v>
      </c>
      <c r="AR18" s="16">
        <f t="shared" si="5"/>
        <v>58.842525000000009</v>
      </c>
      <c r="AS18" s="16">
        <f>AR18+AQ18+AP18+AO18+AN18</f>
        <v>925.2751686150001</v>
      </c>
      <c r="AT18" s="16">
        <f t="shared" ref="AT18:AT29" si="20">(AH18/1000)*12</f>
        <v>2118.3309000000004</v>
      </c>
      <c r="AU18" s="16">
        <f>AJ18/1000*12</f>
        <v>114.38986860000003</v>
      </c>
      <c r="AV18" s="16">
        <f>(AK18/1000)*12</f>
        <v>66.727423350000024</v>
      </c>
      <c r="AW18" s="16">
        <f>(AL18/1000)*12</f>
        <v>63.549927000000011</v>
      </c>
      <c r="AX18" s="16">
        <f>AM18/1000</f>
        <v>117.68505000000002</v>
      </c>
      <c r="AY18" s="16">
        <f>AT18+AU18+AV18+AW18+AX18</f>
        <v>2480.6831689500009</v>
      </c>
      <c r="AZ18" s="17">
        <f>AT18+AT24</f>
        <v>3253.3967550000002</v>
      </c>
      <c r="BA18" s="5"/>
    </row>
    <row r="19" spans="2:53" x14ac:dyDescent="0.25">
      <c r="B19" s="11">
        <v>3</v>
      </c>
      <c r="C19" s="12" t="s">
        <v>56</v>
      </c>
      <c r="D19" s="13" t="s">
        <v>48</v>
      </c>
      <c r="E19" s="13" t="s">
        <v>49</v>
      </c>
      <c r="F19" s="13" t="s">
        <v>57</v>
      </c>
      <c r="G19" s="13" t="s">
        <v>58</v>
      </c>
      <c r="H19" s="13" t="s">
        <v>59</v>
      </c>
      <c r="I19" s="13" t="s">
        <v>60</v>
      </c>
      <c r="J19" s="13">
        <v>4.95</v>
      </c>
      <c r="K19" s="14">
        <f t="shared" ref="K19:K28" si="21">L19</f>
        <v>18</v>
      </c>
      <c r="L19" s="14">
        <v>18</v>
      </c>
      <c r="M19" s="15">
        <f t="shared" si="6"/>
        <v>87600.150000000009</v>
      </c>
      <c r="N19" s="15">
        <f t="shared" ref="N19:N30" si="22">SUM(M19:M19)</f>
        <v>87600.150000000009</v>
      </c>
      <c r="O19" s="15">
        <f t="shared" ref="O19:O31" si="23">N19*25%</f>
        <v>21900.037500000002</v>
      </c>
      <c r="P19" s="15">
        <v>1</v>
      </c>
      <c r="Q19" s="15">
        <v>4312</v>
      </c>
      <c r="R19" s="15">
        <f t="shared" si="8"/>
        <v>10950.018750000003</v>
      </c>
      <c r="S19" s="15">
        <f t="shared" si="9"/>
        <v>37162.056250000009</v>
      </c>
      <c r="T19" s="15">
        <f t="shared" si="10"/>
        <v>124762.20625000002</v>
      </c>
      <c r="U19" s="15">
        <f t="shared" ref="U19:U31" si="24">(T19-T19*10%-Q19)</f>
        <v>107973.98562500002</v>
      </c>
      <c r="V19" s="15">
        <f t="shared" si="11"/>
        <v>6478.4391375000005</v>
      </c>
      <c r="W19" s="15">
        <f t="shared" si="12"/>
        <v>3779.0894968750008</v>
      </c>
      <c r="X19" s="15">
        <f t="shared" si="0"/>
        <v>3742.8661875000003</v>
      </c>
      <c r="Y19" s="15">
        <f t="shared" si="1"/>
        <v>109500.18750000001</v>
      </c>
      <c r="Z19" s="15">
        <f>(N19)*2</f>
        <v>175200.30000000002</v>
      </c>
      <c r="AA19" s="15">
        <f t="shared" ref="AA19:AA31" si="25">Z19*25%</f>
        <v>43800.075000000004</v>
      </c>
      <c r="AB19" s="15">
        <f t="shared" si="13"/>
        <v>21900.037500000006</v>
      </c>
      <c r="AC19" s="15"/>
      <c r="AD19" s="15"/>
      <c r="AE19" s="15"/>
      <c r="AF19" s="15">
        <f>(Z19+AA19)*35%</f>
        <v>76650.131250000006</v>
      </c>
      <c r="AG19" s="15">
        <f t="shared" ref="AG19:AG30" si="26">AF19+AE19++AD19+AC19</f>
        <v>76650.131250000006</v>
      </c>
      <c r="AH19" s="15">
        <f t="shared" si="14"/>
        <v>321862.54375000007</v>
      </c>
      <c r="AI19" s="15">
        <f t="shared" si="15"/>
        <v>285364.28937500005</v>
      </c>
      <c r="AJ19" s="15">
        <f t="shared" si="16"/>
        <v>17121.857362500003</v>
      </c>
      <c r="AK19" s="15">
        <f t="shared" si="17"/>
        <v>9987.7501281250024</v>
      </c>
      <c r="AL19" s="15">
        <f t="shared" si="18"/>
        <v>9655.8763125000023</v>
      </c>
      <c r="AM19" s="15">
        <f t="shared" si="2"/>
        <v>219000.37500000003</v>
      </c>
      <c r="AN19" s="16">
        <f t="shared" si="3"/>
        <v>1497.1464750000002</v>
      </c>
      <c r="AO19" s="16">
        <f t="shared" si="19"/>
        <v>77.741269650000007</v>
      </c>
      <c r="AP19" s="16">
        <f t="shared" si="4"/>
        <v>45.349073962500007</v>
      </c>
      <c r="AQ19" s="16">
        <f t="shared" si="4"/>
        <v>44.914394250000001</v>
      </c>
      <c r="AR19" s="16">
        <f t="shared" si="5"/>
        <v>109.50018750000001</v>
      </c>
      <c r="AS19" s="16">
        <f t="shared" ref="AS19:AS31" si="27">AR19+AQ19+AP19+AO19+AN19</f>
        <v>1774.6514003625002</v>
      </c>
      <c r="AT19" s="16">
        <f>(AH19/1000)*12</f>
        <v>3862.3505250000007</v>
      </c>
      <c r="AU19" s="16">
        <f t="shared" ref="AU19:AU31" si="28">AJ19/1000*12</f>
        <v>205.46228835000002</v>
      </c>
      <c r="AV19" s="16">
        <f t="shared" ref="AV19:AW31" si="29">(AK19/1000)*12</f>
        <v>119.85300153750003</v>
      </c>
      <c r="AW19" s="16">
        <f t="shared" si="29"/>
        <v>115.87051575000002</v>
      </c>
      <c r="AX19" s="16">
        <f t="shared" ref="AX19:AX31" si="30">AM19/1000</f>
        <v>219.00037500000002</v>
      </c>
      <c r="AY19" s="16">
        <f t="shared" ref="AY19:AY31" si="31">AT19+AU19+AV19+AW19+AX19</f>
        <v>4522.5367056375007</v>
      </c>
      <c r="AZ19" s="5"/>
      <c r="BA19" s="5"/>
    </row>
    <row r="20" spans="2:53" x14ac:dyDescent="0.25">
      <c r="B20" s="11">
        <v>4</v>
      </c>
      <c r="C20" s="12" t="s">
        <v>61</v>
      </c>
      <c r="D20" s="13" t="s">
        <v>48</v>
      </c>
      <c r="E20" s="13" t="s">
        <v>49</v>
      </c>
      <c r="F20" s="13" t="s">
        <v>62</v>
      </c>
      <c r="G20" s="13" t="s">
        <v>63</v>
      </c>
      <c r="H20" s="13" t="s">
        <v>59</v>
      </c>
      <c r="I20" s="13" t="s">
        <v>60</v>
      </c>
      <c r="J20" s="13">
        <v>4.95</v>
      </c>
      <c r="K20" s="14">
        <f t="shared" si="21"/>
        <v>18</v>
      </c>
      <c r="L20" s="14">
        <v>18</v>
      </c>
      <c r="M20" s="15">
        <f t="shared" si="6"/>
        <v>87600.150000000009</v>
      </c>
      <c r="N20" s="15">
        <f t="shared" si="22"/>
        <v>87600.150000000009</v>
      </c>
      <c r="O20" s="15">
        <f t="shared" si="23"/>
        <v>21900.037500000002</v>
      </c>
      <c r="P20" s="15">
        <v>1</v>
      </c>
      <c r="Q20" s="15">
        <v>4312</v>
      </c>
      <c r="R20" s="15">
        <f>(N20+O20)*10%</f>
        <v>10950.018750000003</v>
      </c>
      <c r="S20" s="15">
        <f>R20+Q20+O20</f>
        <v>37162.056250000009</v>
      </c>
      <c r="T20" s="15">
        <f t="shared" si="10"/>
        <v>124762.20625000002</v>
      </c>
      <c r="U20" s="15">
        <f>(T20-T20*10%-Q20)</f>
        <v>107973.98562500002</v>
      </c>
      <c r="V20" s="15">
        <f>U20*6%</f>
        <v>6478.4391375000005</v>
      </c>
      <c r="W20" s="15">
        <f>U20*3.5%</f>
        <v>3779.0894968750008</v>
      </c>
      <c r="X20" s="15">
        <f>T20*3%</f>
        <v>3742.8661875000003</v>
      </c>
      <c r="Y20" s="15">
        <f t="shared" si="1"/>
        <v>109500.18750000001</v>
      </c>
      <c r="Z20" s="15">
        <f t="shared" ref="Z20:Z31" si="32">(N20)*2</f>
        <v>175200.30000000002</v>
      </c>
      <c r="AA20" s="15">
        <f t="shared" si="25"/>
        <v>43800.075000000004</v>
      </c>
      <c r="AB20" s="15">
        <f t="shared" si="13"/>
        <v>21900.037500000006</v>
      </c>
      <c r="AC20" s="15"/>
      <c r="AD20" s="15"/>
      <c r="AE20" s="15"/>
      <c r="AF20" s="15">
        <f>(Z20+AA20)*35%</f>
        <v>76650.131250000006</v>
      </c>
      <c r="AG20" s="15">
        <f t="shared" si="26"/>
        <v>76650.131250000006</v>
      </c>
      <c r="AH20" s="15">
        <f t="shared" si="14"/>
        <v>321862.54375000007</v>
      </c>
      <c r="AI20" s="15">
        <f t="shared" si="15"/>
        <v>285364.28937500005</v>
      </c>
      <c r="AJ20" s="15">
        <f t="shared" si="16"/>
        <v>17121.857362500003</v>
      </c>
      <c r="AK20" s="15">
        <f t="shared" si="17"/>
        <v>9987.7501281250024</v>
      </c>
      <c r="AL20" s="15">
        <f t="shared" si="18"/>
        <v>9655.8763125000023</v>
      </c>
      <c r="AM20" s="15">
        <f t="shared" si="2"/>
        <v>219000.37500000003</v>
      </c>
      <c r="AN20" s="16">
        <f t="shared" si="3"/>
        <v>1497.1464750000002</v>
      </c>
      <c r="AO20" s="16">
        <f t="shared" si="19"/>
        <v>77.741269650000007</v>
      </c>
      <c r="AP20" s="16">
        <f t="shared" si="4"/>
        <v>45.349073962500007</v>
      </c>
      <c r="AQ20" s="16">
        <f t="shared" si="4"/>
        <v>44.914394250000001</v>
      </c>
      <c r="AR20" s="16">
        <f t="shared" si="5"/>
        <v>109.50018750000001</v>
      </c>
      <c r="AS20" s="16">
        <f t="shared" si="27"/>
        <v>1774.6514003625002</v>
      </c>
      <c r="AT20" s="16">
        <f t="shared" si="20"/>
        <v>3862.3505250000007</v>
      </c>
      <c r="AU20" s="16">
        <f t="shared" si="28"/>
        <v>205.46228835000002</v>
      </c>
      <c r="AV20" s="16">
        <f t="shared" si="29"/>
        <v>119.85300153750003</v>
      </c>
      <c r="AW20" s="16">
        <f t="shared" si="29"/>
        <v>115.87051575000002</v>
      </c>
      <c r="AX20" s="16">
        <f t="shared" si="30"/>
        <v>219.00037500000002</v>
      </c>
      <c r="AY20" s="16">
        <f t="shared" si="31"/>
        <v>4522.5367056375007</v>
      </c>
      <c r="AZ20" s="5"/>
      <c r="BA20" s="5"/>
    </row>
    <row r="21" spans="2:53" x14ac:dyDescent="0.25">
      <c r="B21" s="11">
        <v>5</v>
      </c>
      <c r="C21" s="12" t="s">
        <v>64</v>
      </c>
      <c r="D21" s="13" t="s">
        <v>48</v>
      </c>
      <c r="E21" s="13" t="s">
        <v>49</v>
      </c>
      <c r="F21" s="13" t="s">
        <v>65</v>
      </c>
      <c r="G21" s="13" t="s">
        <v>51</v>
      </c>
      <c r="H21" s="13" t="s">
        <v>66</v>
      </c>
      <c r="I21" s="13" t="s">
        <v>67</v>
      </c>
      <c r="J21" s="13">
        <v>4.9000000000000004</v>
      </c>
      <c r="K21" s="14">
        <f t="shared" si="21"/>
        <v>18</v>
      </c>
      <c r="L21" s="14">
        <v>18</v>
      </c>
      <c r="M21" s="15">
        <f t="shared" si="6"/>
        <v>86715.299999999988</v>
      </c>
      <c r="N21" s="15">
        <f t="shared" si="22"/>
        <v>86715.299999999988</v>
      </c>
      <c r="O21" s="15">
        <f t="shared" si="23"/>
        <v>21678.824999999997</v>
      </c>
      <c r="P21" s="15">
        <v>1</v>
      </c>
      <c r="Q21" s="15">
        <v>4312</v>
      </c>
      <c r="R21" s="15">
        <f t="shared" si="8"/>
        <v>10839.412499999999</v>
      </c>
      <c r="S21" s="15">
        <f t="shared" si="9"/>
        <v>36830.237499999996</v>
      </c>
      <c r="T21" s="15">
        <f t="shared" si="10"/>
        <v>123545.53749999998</v>
      </c>
      <c r="U21" s="15">
        <f t="shared" si="24"/>
        <v>106878.98374999998</v>
      </c>
      <c r="V21" s="15">
        <f t="shared" si="11"/>
        <v>6412.7390249999989</v>
      </c>
      <c r="W21" s="15">
        <f t="shared" si="12"/>
        <v>3740.7644312499997</v>
      </c>
      <c r="X21" s="15">
        <f t="shared" si="0"/>
        <v>3706.3661249999991</v>
      </c>
      <c r="Y21" s="15">
        <f t="shared" si="1"/>
        <v>108394.12499999999</v>
      </c>
      <c r="Z21" s="15">
        <f t="shared" si="32"/>
        <v>173430.59999999998</v>
      </c>
      <c r="AA21" s="15">
        <f t="shared" si="25"/>
        <v>43357.649999999994</v>
      </c>
      <c r="AB21" s="15">
        <f t="shared" si="13"/>
        <v>21678.824999999997</v>
      </c>
      <c r="AC21" s="15"/>
      <c r="AD21" s="15"/>
      <c r="AE21" s="15"/>
      <c r="AF21" s="15">
        <f>(Z21+AA21)*35%</f>
        <v>75875.887499999983</v>
      </c>
      <c r="AG21" s="15">
        <f t="shared" si="26"/>
        <v>75875.887499999983</v>
      </c>
      <c r="AH21" s="15">
        <f t="shared" si="14"/>
        <v>318654.96249999991</v>
      </c>
      <c r="AI21" s="15">
        <f t="shared" si="15"/>
        <v>282477.46624999994</v>
      </c>
      <c r="AJ21" s="15">
        <f t="shared" si="16"/>
        <v>16948.647974999996</v>
      </c>
      <c r="AK21" s="15">
        <f t="shared" si="17"/>
        <v>9886.7113187499981</v>
      </c>
      <c r="AL21" s="15">
        <f t="shared" si="18"/>
        <v>9559.6488749999971</v>
      </c>
      <c r="AM21" s="15">
        <f t="shared" si="2"/>
        <v>216788.24999999997</v>
      </c>
      <c r="AN21" s="16">
        <f t="shared" si="3"/>
        <v>1482.5464499999998</v>
      </c>
      <c r="AO21" s="16">
        <f t="shared" si="19"/>
        <v>76.952868299999977</v>
      </c>
      <c r="AP21" s="16">
        <f t="shared" si="4"/>
        <v>44.889173174999996</v>
      </c>
      <c r="AQ21" s="16">
        <f t="shared" si="4"/>
        <v>44.476393499999993</v>
      </c>
      <c r="AR21" s="16">
        <f t="shared" si="5"/>
        <v>108.39412499999999</v>
      </c>
      <c r="AS21" s="16">
        <f t="shared" si="27"/>
        <v>1757.2590099749998</v>
      </c>
      <c r="AT21" s="16">
        <f t="shared" si="20"/>
        <v>3823.8595499999988</v>
      </c>
      <c r="AU21" s="16">
        <f t="shared" si="28"/>
        <v>203.38377569999994</v>
      </c>
      <c r="AV21" s="16">
        <f t="shared" si="29"/>
        <v>118.64053582499999</v>
      </c>
      <c r="AW21" s="16">
        <f t="shared" si="29"/>
        <v>114.71578649999996</v>
      </c>
      <c r="AX21" s="16">
        <f t="shared" si="30"/>
        <v>216.78824999999998</v>
      </c>
      <c r="AY21" s="16">
        <f t="shared" si="31"/>
        <v>4477.3878980249983</v>
      </c>
      <c r="AZ21" s="5"/>
      <c r="BA21" s="5"/>
    </row>
    <row r="22" spans="2:53" x14ac:dyDescent="0.25">
      <c r="B22" s="11">
        <v>6</v>
      </c>
      <c r="C22" s="12" t="s">
        <v>68</v>
      </c>
      <c r="D22" s="13" t="s">
        <v>48</v>
      </c>
      <c r="E22" s="13" t="s">
        <v>49</v>
      </c>
      <c r="F22" s="13" t="s">
        <v>69</v>
      </c>
      <c r="G22" s="13" t="s">
        <v>70</v>
      </c>
      <c r="H22" s="13">
        <v>0</v>
      </c>
      <c r="I22" s="13" t="s">
        <v>71</v>
      </c>
      <c r="J22" s="13">
        <v>4.7300000000000004</v>
      </c>
      <c r="K22" s="14">
        <f t="shared" si="21"/>
        <v>18</v>
      </c>
      <c r="L22" s="14">
        <v>18</v>
      </c>
      <c r="M22" s="15">
        <f t="shared" si="6"/>
        <v>83706.810000000012</v>
      </c>
      <c r="N22" s="15">
        <f t="shared" si="22"/>
        <v>83706.810000000012</v>
      </c>
      <c r="O22" s="15">
        <f t="shared" si="23"/>
        <v>20926.702500000003</v>
      </c>
      <c r="P22" s="15">
        <v>1</v>
      </c>
      <c r="Q22" s="15">
        <v>4312</v>
      </c>
      <c r="R22" s="15">
        <f t="shared" si="8"/>
        <v>10463.351250000002</v>
      </c>
      <c r="S22" s="15">
        <f t="shared" si="9"/>
        <v>35702.053750000006</v>
      </c>
      <c r="T22" s="15">
        <f t="shared" si="10"/>
        <v>119408.86375000002</v>
      </c>
      <c r="U22" s="15">
        <f t="shared" si="24"/>
        <v>103155.97737500002</v>
      </c>
      <c r="V22" s="15">
        <f t="shared" si="11"/>
        <v>6189.3586425000012</v>
      </c>
      <c r="W22" s="15">
        <f t="shared" si="12"/>
        <v>3610.4592081250007</v>
      </c>
      <c r="X22" s="15">
        <f t="shared" si="0"/>
        <v>3582.2659125000005</v>
      </c>
      <c r="Y22" s="15">
        <f t="shared" si="1"/>
        <v>104633.51250000001</v>
      </c>
      <c r="Z22" s="15">
        <f t="shared" si="32"/>
        <v>167413.62000000002</v>
      </c>
      <c r="AA22" s="15">
        <f t="shared" si="25"/>
        <v>41853.405000000006</v>
      </c>
      <c r="AB22" s="15">
        <f t="shared" si="13"/>
        <v>20926.702500000003</v>
      </c>
      <c r="AC22" s="15"/>
      <c r="AD22" s="15"/>
      <c r="AE22" s="15"/>
      <c r="AF22" s="15"/>
      <c r="AG22" s="15">
        <f t="shared" si="26"/>
        <v>0</v>
      </c>
      <c r="AH22" s="15">
        <f t="shared" si="14"/>
        <v>234505.72750000004</v>
      </c>
      <c r="AI22" s="15">
        <f t="shared" si="15"/>
        <v>206743.15475000005</v>
      </c>
      <c r="AJ22" s="15">
        <f t="shared" si="16"/>
        <v>12404.589285000002</v>
      </c>
      <c r="AK22" s="15">
        <f t="shared" si="17"/>
        <v>7236.010416250002</v>
      </c>
      <c r="AL22" s="15">
        <f t="shared" si="18"/>
        <v>7035.1718250000013</v>
      </c>
      <c r="AM22" s="15">
        <f t="shared" si="2"/>
        <v>209267.02500000002</v>
      </c>
      <c r="AN22" s="16">
        <f t="shared" si="3"/>
        <v>1432.9063650000003</v>
      </c>
      <c r="AO22" s="16">
        <f t="shared" si="19"/>
        <v>74.272303710000017</v>
      </c>
      <c r="AP22" s="16">
        <f t="shared" si="4"/>
        <v>43.325510497500012</v>
      </c>
      <c r="AQ22" s="16">
        <f t="shared" si="4"/>
        <v>42.987190950000006</v>
      </c>
      <c r="AR22" s="16">
        <f t="shared" si="5"/>
        <v>104.63351250000001</v>
      </c>
      <c r="AS22" s="16">
        <f t="shared" si="27"/>
        <v>1698.1248826575002</v>
      </c>
      <c r="AT22" s="16">
        <f t="shared" si="20"/>
        <v>2814.0687300000004</v>
      </c>
      <c r="AU22" s="16">
        <f t="shared" si="28"/>
        <v>148.85507142000003</v>
      </c>
      <c r="AV22" s="16">
        <f t="shared" si="29"/>
        <v>86.832124995000015</v>
      </c>
      <c r="AW22" s="16">
        <f t="shared" si="29"/>
        <v>84.422061900000017</v>
      </c>
      <c r="AX22" s="16">
        <f t="shared" si="30"/>
        <v>209.26702500000002</v>
      </c>
      <c r="AY22" s="16">
        <f t="shared" si="31"/>
        <v>3343.4450133150003</v>
      </c>
      <c r="AZ22" s="5"/>
      <c r="BA22" s="5"/>
    </row>
    <row r="23" spans="2:53" ht="26.25" x14ac:dyDescent="0.25">
      <c r="B23" s="11">
        <v>7</v>
      </c>
      <c r="C23" s="12" t="s">
        <v>72</v>
      </c>
      <c r="D23" s="13" t="s">
        <v>48</v>
      </c>
      <c r="E23" s="18" t="s">
        <v>73</v>
      </c>
      <c r="F23" s="18" t="s">
        <v>74</v>
      </c>
      <c r="G23" s="18" t="s">
        <v>75</v>
      </c>
      <c r="H23" s="13" t="s">
        <v>66</v>
      </c>
      <c r="I23" s="13" t="s">
        <v>76</v>
      </c>
      <c r="J23" s="18">
        <v>4.07</v>
      </c>
      <c r="K23" s="14">
        <f t="shared" si="21"/>
        <v>18</v>
      </c>
      <c r="L23" s="14">
        <v>18</v>
      </c>
      <c r="M23" s="15">
        <f t="shared" si="6"/>
        <v>72026.790000000008</v>
      </c>
      <c r="N23" s="15">
        <f t="shared" si="22"/>
        <v>72026.790000000008</v>
      </c>
      <c r="O23" s="15">
        <f t="shared" si="23"/>
        <v>18006.697500000002</v>
      </c>
      <c r="P23" s="15">
        <v>1</v>
      </c>
      <c r="Q23" s="15">
        <v>4312</v>
      </c>
      <c r="R23" s="15">
        <f t="shared" si="8"/>
        <v>9003.3487500000028</v>
      </c>
      <c r="S23" s="15">
        <f t="shared" si="9"/>
        <v>31322.046250000007</v>
      </c>
      <c r="T23" s="15">
        <f t="shared" si="10"/>
        <v>103348.83625000002</v>
      </c>
      <c r="U23" s="15">
        <f t="shared" si="24"/>
        <v>88701.95262500002</v>
      </c>
      <c r="V23" s="15">
        <f t="shared" si="11"/>
        <v>5322.1171575000008</v>
      </c>
      <c r="W23" s="15">
        <f t="shared" si="12"/>
        <v>3104.5683418750009</v>
      </c>
      <c r="X23" s="15">
        <f t="shared" si="0"/>
        <v>3100.4650875000007</v>
      </c>
      <c r="Y23" s="15">
        <f t="shared" si="1"/>
        <v>90033.487500000017</v>
      </c>
      <c r="Z23" s="15">
        <f t="shared" si="32"/>
        <v>144053.58000000002</v>
      </c>
      <c r="AA23" s="15">
        <f t="shared" si="25"/>
        <v>36013.395000000004</v>
      </c>
      <c r="AB23" s="15">
        <f t="shared" si="13"/>
        <v>18006.697500000006</v>
      </c>
      <c r="AC23" s="15"/>
      <c r="AD23" s="15"/>
      <c r="AE23" s="15">
        <f>(Z23+AA23)*30%</f>
        <v>54020.092500000006</v>
      </c>
      <c r="AF23" s="15"/>
      <c r="AG23" s="15">
        <f t="shared" si="26"/>
        <v>54020.092500000006</v>
      </c>
      <c r="AH23" s="15">
        <f t="shared" si="14"/>
        <v>256405.76500000004</v>
      </c>
      <c r="AI23" s="15">
        <f t="shared" si="15"/>
        <v>226453.18850000005</v>
      </c>
      <c r="AJ23" s="15">
        <f t="shared" si="16"/>
        <v>13587.191310000002</v>
      </c>
      <c r="AK23" s="15">
        <f t="shared" si="17"/>
        <v>7925.8615975000021</v>
      </c>
      <c r="AL23" s="15">
        <f t="shared" si="18"/>
        <v>7692.172950000001</v>
      </c>
      <c r="AM23" s="15">
        <f t="shared" si="2"/>
        <v>180066.97500000003</v>
      </c>
      <c r="AN23" s="16">
        <f t="shared" si="3"/>
        <v>1240.1860350000002</v>
      </c>
      <c r="AO23" s="16">
        <f t="shared" si="19"/>
        <v>63.865405890000012</v>
      </c>
      <c r="AP23" s="16">
        <f t="shared" si="4"/>
        <v>37.254820102500005</v>
      </c>
      <c r="AQ23" s="16">
        <f t="shared" si="4"/>
        <v>37.205581050000006</v>
      </c>
      <c r="AR23" s="16">
        <f t="shared" si="5"/>
        <v>90.033487500000021</v>
      </c>
      <c r="AS23" s="16">
        <f t="shared" si="27"/>
        <v>1468.5453295425002</v>
      </c>
      <c r="AT23" s="16">
        <f t="shared" si="20"/>
        <v>3076.8691800000006</v>
      </c>
      <c r="AU23" s="16">
        <f t="shared" si="28"/>
        <v>163.04629572000002</v>
      </c>
      <c r="AV23" s="16">
        <f t="shared" si="29"/>
        <v>95.110339170000017</v>
      </c>
      <c r="AW23" s="16">
        <f t="shared" si="29"/>
        <v>92.306075400000012</v>
      </c>
      <c r="AX23" s="16">
        <f t="shared" si="30"/>
        <v>180.06697500000004</v>
      </c>
      <c r="AY23" s="16">
        <f t="shared" si="31"/>
        <v>3607.3988652900007</v>
      </c>
      <c r="AZ23" s="5"/>
      <c r="BA23" s="5"/>
    </row>
    <row r="24" spans="2:53" ht="26.25" x14ac:dyDescent="0.25">
      <c r="B24" s="11">
        <v>8</v>
      </c>
      <c r="C24" s="12" t="s">
        <v>77</v>
      </c>
      <c r="D24" s="13" t="s">
        <v>48</v>
      </c>
      <c r="E24" s="18" t="s">
        <v>73</v>
      </c>
      <c r="F24" s="13" t="s">
        <v>78</v>
      </c>
      <c r="G24" s="13" t="s">
        <v>79</v>
      </c>
      <c r="H24" s="13"/>
      <c r="I24" s="13" t="s">
        <v>80</v>
      </c>
      <c r="J24" s="13">
        <v>3.71</v>
      </c>
      <c r="K24" s="14">
        <f t="shared" si="21"/>
        <v>9</v>
      </c>
      <c r="L24" s="14">
        <v>9</v>
      </c>
      <c r="M24" s="15">
        <f t="shared" si="6"/>
        <v>32827.934999999998</v>
      </c>
      <c r="N24" s="15">
        <f t="shared" si="22"/>
        <v>32827.934999999998</v>
      </c>
      <c r="O24" s="15">
        <f t="shared" si="23"/>
        <v>8206.9837499999994</v>
      </c>
      <c r="P24" s="15">
        <v>1</v>
      </c>
      <c r="Q24" s="15">
        <v>4312</v>
      </c>
      <c r="R24" s="15">
        <f t="shared" si="8"/>
        <v>4103.4918749999997</v>
      </c>
      <c r="S24" s="15">
        <f t="shared" si="9"/>
        <v>16622.475624999999</v>
      </c>
      <c r="T24" s="15">
        <f t="shared" si="10"/>
        <v>49450.410624999997</v>
      </c>
      <c r="U24" s="15">
        <f t="shared" si="24"/>
        <v>40193.369562499996</v>
      </c>
      <c r="V24" s="15">
        <f t="shared" si="11"/>
        <v>2411.6021737499996</v>
      </c>
      <c r="W24" s="15">
        <f t="shared" si="12"/>
        <v>1406.7679346875</v>
      </c>
      <c r="X24" s="15">
        <f t="shared" si="0"/>
        <v>1483.5123187499998</v>
      </c>
      <c r="Y24" s="15">
        <f t="shared" si="1"/>
        <v>41034.918749999997</v>
      </c>
      <c r="Z24" s="15">
        <f t="shared" si="32"/>
        <v>65655.87</v>
      </c>
      <c r="AA24" s="15">
        <f t="shared" si="25"/>
        <v>16413.967499999999</v>
      </c>
      <c r="AB24" s="15">
        <f t="shared" si="13"/>
        <v>8206.9837499999994</v>
      </c>
      <c r="AC24" s="15"/>
      <c r="AD24" s="15"/>
      <c r="AE24" s="15"/>
      <c r="AF24" s="15"/>
      <c r="AG24" s="15">
        <f t="shared" si="26"/>
        <v>0</v>
      </c>
      <c r="AH24" s="15">
        <f t="shared" si="14"/>
        <v>94588.821249999994</v>
      </c>
      <c r="AI24" s="15">
        <f t="shared" si="15"/>
        <v>80817.93912499999</v>
      </c>
      <c r="AJ24" s="15">
        <f t="shared" si="16"/>
        <v>4849.0763474999994</v>
      </c>
      <c r="AK24" s="15">
        <f t="shared" si="17"/>
        <v>2828.627869375</v>
      </c>
      <c r="AL24" s="15">
        <f t="shared" si="18"/>
        <v>2837.6646374999996</v>
      </c>
      <c r="AM24" s="15">
        <f t="shared" si="2"/>
        <v>82069.837499999994</v>
      </c>
      <c r="AN24" s="16">
        <f t="shared" si="3"/>
        <v>593.40492749999999</v>
      </c>
      <c r="AO24" s="16">
        <f t="shared" si="19"/>
        <v>28.939226084999994</v>
      </c>
      <c r="AP24" s="16">
        <f t="shared" si="4"/>
        <v>16.881215216249998</v>
      </c>
      <c r="AQ24" s="16">
        <f t="shared" si="4"/>
        <v>17.802147824999999</v>
      </c>
      <c r="AR24" s="16">
        <f t="shared" si="5"/>
        <v>41.034918749999996</v>
      </c>
      <c r="AS24" s="16">
        <f t="shared" si="27"/>
        <v>698.06243537624994</v>
      </c>
      <c r="AT24" s="16">
        <f t="shared" si="20"/>
        <v>1135.0658549999998</v>
      </c>
      <c r="AU24" s="16">
        <f t="shared" si="28"/>
        <v>58.188916169999999</v>
      </c>
      <c r="AV24" s="16">
        <f t="shared" si="29"/>
        <v>33.943534432500002</v>
      </c>
      <c r="AW24" s="16">
        <f t="shared" si="29"/>
        <v>34.051975649999996</v>
      </c>
      <c r="AX24" s="16">
        <f t="shared" si="30"/>
        <v>82.069837499999991</v>
      </c>
      <c r="AY24" s="16">
        <f t="shared" si="31"/>
        <v>1343.3201187524999</v>
      </c>
      <c r="AZ24" s="5"/>
      <c r="BA24" s="5"/>
    </row>
    <row r="25" spans="2:53" x14ac:dyDescent="0.25">
      <c r="B25" s="11">
        <v>9</v>
      </c>
      <c r="C25" s="12" t="s">
        <v>81</v>
      </c>
      <c r="D25" s="13" t="s">
        <v>48</v>
      </c>
      <c r="E25" s="13" t="s">
        <v>49</v>
      </c>
      <c r="F25" s="13" t="s">
        <v>82</v>
      </c>
      <c r="G25" s="13" t="s">
        <v>83</v>
      </c>
      <c r="H25" s="13" t="s">
        <v>66</v>
      </c>
      <c r="I25" s="13" t="s">
        <v>67</v>
      </c>
      <c r="J25" s="13">
        <v>4.99</v>
      </c>
      <c r="K25" s="14">
        <f t="shared" si="21"/>
        <v>9</v>
      </c>
      <c r="L25" s="14">
        <v>9</v>
      </c>
      <c r="M25" s="15">
        <f t="shared" si="6"/>
        <v>44154.014999999999</v>
      </c>
      <c r="N25" s="15">
        <f t="shared" si="22"/>
        <v>44154.014999999999</v>
      </c>
      <c r="O25" s="15">
        <f t="shared" si="23"/>
        <v>11038.50375</v>
      </c>
      <c r="P25" s="15">
        <v>1</v>
      </c>
      <c r="Q25" s="15"/>
      <c r="R25" s="15">
        <f t="shared" si="8"/>
        <v>5519.2518750000008</v>
      </c>
      <c r="S25" s="15">
        <f t="shared" si="9"/>
        <v>16557.755625000002</v>
      </c>
      <c r="T25" s="15">
        <f t="shared" si="10"/>
        <v>60711.770625000005</v>
      </c>
      <c r="U25" s="15">
        <f t="shared" si="24"/>
        <v>54640.593562500006</v>
      </c>
      <c r="V25" s="15">
        <f t="shared" si="11"/>
        <v>3278.4356137500004</v>
      </c>
      <c r="W25" s="15">
        <f t="shared" si="12"/>
        <v>1912.4207746875004</v>
      </c>
      <c r="X25" s="15">
        <f t="shared" si="0"/>
        <v>1821.35311875</v>
      </c>
      <c r="Y25" s="15">
        <f t="shared" si="1"/>
        <v>55192.518750000003</v>
      </c>
      <c r="Z25" s="15">
        <f t="shared" si="32"/>
        <v>88308.03</v>
      </c>
      <c r="AA25" s="15">
        <f t="shared" si="25"/>
        <v>22077.0075</v>
      </c>
      <c r="AB25" s="15">
        <f t="shared" si="13"/>
        <v>11038.503750000002</v>
      </c>
      <c r="AC25" s="15"/>
      <c r="AD25" s="15"/>
      <c r="AE25" s="15">
        <f>(Z25+AA25)*30%</f>
        <v>33115.511250000003</v>
      </c>
      <c r="AF25" s="15"/>
      <c r="AG25" s="15">
        <f t="shared" si="26"/>
        <v>33115.511250000003</v>
      </c>
      <c r="AH25" s="15">
        <f t="shared" si="14"/>
        <v>154539.05250000002</v>
      </c>
      <c r="AI25" s="15">
        <f t="shared" si="15"/>
        <v>139085.14725000001</v>
      </c>
      <c r="AJ25" s="15">
        <f t="shared" si="16"/>
        <v>8345.1088350000009</v>
      </c>
      <c r="AK25" s="15">
        <f t="shared" si="17"/>
        <v>4867.9801537500007</v>
      </c>
      <c r="AL25" s="15">
        <f t="shared" si="18"/>
        <v>4636.1715750000003</v>
      </c>
      <c r="AM25" s="15">
        <f t="shared" si="2"/>
        <v>110385.03750000001</v>
      </c>
      <c r="AN25" s="16">
        <f t="shared" si="3"/>
        <v>728.54124750000005</v>
      </c>
      <c r="AO25" s="16">
        <f t="shared" si="19"/>
        <v>39.341227365000002</v>
      </c>
      <c r="AP25" s="16">
        <f t="shared" si="4"/>
        <v>22.949049296250003</v>
      </c>
      <c r="AQ25" s="16">
        <f t="shared" si="4"/>
        <v>21.856237425</v>
      </c>
      <c r="AR25" s="16">
        <f t="shared" si="5"/>
        <v>55.192518750000005</v>
      </c>
      <c r="AS25" s="16">
        <f t="shared" si="27"/>
        <v>867.88028033625005</v>
      </c>
      <c r="AT25" s="16">
        <f t="shared" si="20"/>
        <v>1854.4686300000003</v>
      </c>
      <c r="AU25" s="16">
        <f t="shared" si="28"/>
        <v>100.14130602000002</v>
      </c>
      <c r="AV25" s="16">
        <f t="shared" si="29"/>
        <v>58.415761845000006</v>
      </c>
      <c r="AW25" s="16">
        <f t="shared" si="29"/>
        <v>55.634058900000007</v>
      </c>
      <c r="AX25" s="16">
        <f t="shared" si="30"/>
        <v>110.38503750000001</v>
      </c>
      <c r="AY25" s="16">
        <f t="shared" si="31"/>
        <v>2179.0447942650003</v>
      </c>
      <c r="AZ25" s="5"/>
      <c r="BA25" s="5"/>
    </row>
    <row r="26" spans="2:53" x14ac:dyDescent="0.25">
      <c r="B26" s="11">
        <v>10</v>
      </c>
      <c r="C26" s="12" t="s">
        <v>84</v>
      </c>
      <c r="D26" s="13" t="s">
        <v>48</v>
      </c>
      <c r="E26" s="13" t="s">
        <v>73</v>
      </c>
      <c r="F26" s="13" t="s">
        <v>85</v>
      </c>
      <c r="G26" s="13" t="s">
        <v>51</v>
      </c>
      <c r="H26" s="13"/>
      <c r="I26" s="13" t="s">
        <v>80</v>
      </c>
      <c r="J26" s="13">
        <v>3.71</v>
      </c>
      <c r="K26" s="14">
        <v>9</v>
      </c>
      <c r="L26" s="14">
        <v>9</v>
      </c>
      <c r="M26" s="15">
        <f t="shared" si="6"/>
        <v>32827.934999999998</v>
      </c>
      <c r="N26" s="15">
        <f t="shared" si="22"/>
        <v>32827.934999999998</v>
      </c>
      <c r="O26" s="15">
        <f t="shared" si="23"/>
        <v>8206.9837499999994</v>
      </c>
      <c r="P26" s="15">
        <v>1</v>
      </c>
      <c r="Q26" s="15">
        <v>4312</v>
      </c>
      <c r="R26" s="15">
        <f t="shared" si="8"/>
        <v>4103.4918749999997</v>
      </c>
      <c r="S26" s="15">
        <f t="shared" si="9"/>
        <v>16622.475624999999</v>
      </c>
      <c r="T26" s="15">
        <f t="shared" si="10"/>
        <v>49450.410624999997</v>
      </c>
      <c r="U26" s="15">
        <f t="shared" si="24"/>
        <v>40193.369562499996</v>
      </c>
      <c r="V26" s="15">
        <f t="shared" si="11"/>
        <v>2411.6021737499996</v>
      </c>
      <c r="W26" s="15">
        <f t="shared" si="12"/>
        <v>1406.7679346875</v>
      </c>
      <c r="X26" s="15">
        <f t="shared" si="0"/>
        <v>1483.5123187499998</v>
      </c>
      <c r="Y26" s="15">
        <f t="shared" si="1"/>
        <v>41034.918749999997</v>
      </c>
      <c r="Z26" s="15">
        <f t="shared" si="32"/>
        <v>65655.87</v>
      </c>
      <c r="AA26" s="15">
        <f t="shared" si="25"/>
        <v>16413.967499999999</v>
      </c>
      <c r="AB26" s="15">
        <f t="shared" si="13"/>
        <v>8206.9837499999994</v>
      </c>
      <c r="AC26" s="15"/>
      <c r="AD26" s="15"/>
      <c r="AE26" s="15"/>
      <c r="AF26" s="15"/>
      <c r="AG26" s="15">
        <f t="shared" si="26"/>
        <v>0</v>
      </c>
      <c r="AH26" s="15">
        <f t="shared" si="14"/>
        <v>94588.821249999994</v>
      </c>
      <c r="AI26" s="15">
        <f t="shared" si="15"/>
        <v>80817.93912499999</v>
      </c>
      <c r="AJ26" s="15">
        <f t="shared" si="16"/>
        <v>4849.0763474999994</v>
      </c>
      <c r="AK26" s="15">
        <f t="shared" si="17"/>
        <v>2828.627869375</v>
      </c>
      <c r="AL26" s="15">
        <f t="shared" si="18"/>
        <v>2837.6646374999996</v>
      </c>
      <c r="AM26" s="15">
        <f t="shared" si="2"/>
        <v>82069.837499999994</v>
      </c>
      <c r="AN26" s="16">
        <f t="shared" si="3"/>
        <v>593.40492749999999</v>
      </c>
      <c r="AO26" s="16">
        <f t="shared" si="19"/>
        <v>28.939226084999994</v>
      </c>
      <c r="AP26" s="16">
        <f t="shared" si="4"/>
        <v>16.881215216249998</v>
      </c>
      <c r="AQ26" s="16">
        <f t="shared" si="4"/>
        <v>17.802147824999999</v>
      </c>
      <c r="AR26" s="16">
        <f t="shared" si="5"/>
        <v>41.034918749999996</v>
      </c>
      <c r="AS26" s="16">
        <f t="shared" si="27"/>
        <v>698.06243537624994</v>
      </c>
      <c r="AT26" s="16">
        <f t="shared" si="20"/>
        <v>1135.0658549999998</v>
      </c>
      <c r="AU26" s="16">
        <f t="shared" si="28"/>
        <v>58.188916169999999</v>
      </c>
      <c r="AV26" s="16">
        <f t="shared" si="29"/>
        <v>33.943534432500002</v>
      </c>
      <c r="AW26" s="16">
        <f t="shared" si="29"/>
        <v>34.051975649999996</v>
      </c>
      <c r="AX26" s="16">
        <f t="shared" si="30"/>
        <v>82.069837499999991</v>
      </c>
      <c r="AY26" s="16">
        <f t="shared" si="31"/>
        <v>1343.3201187524999</v>
      </c>
      <c r="AZ26" s="5"/>
      <c r="BA26" s="5"/>
    </row>
    <row r="27" spans="2:53" x14ac:dyDescent="0.25">
      <c r="B27" s="11">
        <v>11</v>
      </c>
      <c r="C27" s="12" t="s">
        <v>86</v>
      </c>
      <c r="D27" s="13" t="s">
        <v>48</v>
      </c>
      <c r="E27" s="13" t="s">
        <v>73</v>
      </c>
      <c r="F27" s="13" t="s">
        <v>87</v>
      </c>
      <c r="G27" s="13" t="s">
        <v>88</v>
      </c>
      <c r="H27" s="13"/>
      <c r="I27" s="13" t="s">
        <v>80</v>
      </c>
      <c r="J27" s="13">
        <v>3.52</v>
      </c>
      <c r="K27" s="14">
        <v>9</v>
      </c>
      <c r="L27" s="14">
        <v>9</v>
      </c>
      <c r="M27" s="15">
        <f t="shared" si="6"/>
        <v>31146.720000000001</v>
      </c>
      <c r="N27" s="15">
        <f t="shared" si="22"/>
        <v>31146.720000000001</v>
      </c>
      <c r="O27" s="15">
        <f t="shared" si="23"/>
        <v>7786.68</v>
      </c>
      <c r="P27" s="15">
        <v>1</v>
      </c>
      <c r="Q27" s="15">
        <v>4312</v>
      </c>
      <c r="R27" s="15">
        <f t="shared" si="8"/>
        <v>3893.34</v>
      </c>
      <c r="S27" s="15">
        <f t="shared" si="9"/>
        <v>15992.02</v>
      </c>
      <c r="T27" s="15">
        <f t="shared" si="10"/>
        <v>47138.740000000005</v>
      </c>
      <c r="U27" s="15">
        <f t="shared" si="24"/>
        <v>38112.866000000002</v>
      </c>
      <c r="V27" s="15">
        <f t="shared" si="11"/>
        <v>2286.77196</v>
      </c>
      <c r="W27" s="15">
        <f t="shared" si="12"/>
        <v>1333.9503100000002</v>
      </c>
      <c r="X27" s="15">
        <f t="shared" si="0"/>
        <v>1414.1622000000002</v>
      </c>
      <c r="Y27" s="15">
        <f t="shared" si="1"/>
        <v>38933.4</v>
      </c>
      <c r="Z27" s="15">
        <f>(N27)*2</f>
        <v>62293.440000000002</v>
      </c>
      <c r="AA27" s="15">
        <f>Z27*25%</f>
        <v>15573.36</v>
      </c>
      <c r="AB27" s="15">
        <f t="shared" si="13"/>
        <v>7786.68</v>
      </c>
      <c r="AC27" s="15"/>
      <c r="AD27" s="15"/>
      <c r="AE27" s="15"/>
      <c r="AF27" s="15"/>
      <c r="AG27" s="15">
        <f t="shared" si="26"/>
        <v>0</v>
      </c>
      <c r="AH27" s="15">
        <f t="shared" si="14"/>
        <v>89965.48000000001</v>
      </c>
      <c r="AI27" s="15">
        <f t="shared" si="15"/>
        <v>76656.932000000015</v>
      </c>
      <c r="AJ27" s="15">
        <f t="shared" si="16"/>
        <v>4599.4159200000004</v>
      </c>
      <c r="AK27" s="15">
        <f t="shared" si="17"/>
        <v>2682.9926200000009</v>
      </c>
      <c r="AL27" s="15">
        <f t="shared" si="18"/>
        <v>2698.9644000000003</v>
      </c>
      <c r="AM27" s="15">
        <f t="shared" si="2"/>
        <v>77866.8</v>
      </c>
      <c r="AN27" s="16">
        <f t="shared" si="3"/>
        <v>565.66488000000004</v>
      </c>
      <c r="AO27" s="16">
        <f t="shared" si="19"/>
        <v>27.44126352</v>
      </c>
      <c r="AP27" s="16">
        <f t="shared" si="4"/>
        <v>16.007403719999999</v>
      </c>
      <c r="AQ27" s="16">
        <f t="shared" si="4"/>
        <v>16.969946400000005</v>
      </c>
      <c r="AR27" s="16">
        <f t="shared" si="5"/>
        <v>38.933399999999999</v>
      </c>
      <c r="AS27" s="16">
        <f t="shared" si="27"/>
        <v>665.01689364000003</v>
      </c>
      <c r="AT27" s="16">
        <f t="shared" si="20"/>
        <v>1079.5857600000002</v>
      </c>
      <c r="AU27" s="16">
        <f t="shared" si="28"/>
        <v>55.192991040000003</v>
      </c>
      <c r="AV27" s="16">
        <f t="shared" si="29"/>
        <v>32.19591144000001</v>
      </c>
      <c r="AW27" s="16">
        <f t="shared" si="29"/>
        <v>32.387572800000001</v>
      </c>
      <c r="AX27" s="16">
        <f t="shared" si="30"/>
        <v>77.866799999999998</v>
      </c>
      <c r="AY27" s="16">
        <f t="shared" si="31"/>
        <v>1277.2290352800001</v>
      </c>
      <c r="AZ27" s="5"/>
      <c r="BA27" s="5"/>
    </row>
    <row r="28" spans="2:53" x14ac:dyDescent="0.25">
      <c r="B28" s="11">
        <v>12</v>
      </c>
      <c r="C28" s="12" t="s">
        <v>89</v>
      </c>
      <c r="D28" s="13" t="s">
        <v>48</v>
      </c>
      <c r="E28" s="13" t="s">
        <v>90</v>
      </c>
      <c r="F28" s="13" t="s">
        <v>91</v>
      </c>
      <c r="G28" s="13" t="s">
        <v>92</v>
      </c>
      <c r="H28" s="13"/>
      <c r="I28" s="13" t="s">
        <v>71</v>
      </c>
      <c r="J28" s="13">
        <v>4.1399999999999997</v>
      </c>
      <c r="K28" s="14">
        <f t="shared" si="21"/>
        <v>18</v>
      </c>
      <c r="L28" s="14">
        <v>18</v>
      </c>
      <c r="M28" s="15">
        <f t="shared" si="6"/>
        <v>73265.579999999987</v>
      </c>
      <c r="N28" s="15">
        <f t="shared" si="22"/>
        <v>73265.579999999987</v>
      </c>
      <c r="O28" s="15">
        <f t="shared" si="23"/>
        <v>18316.394999999997</v>
      </c>
      <c r="P28" s="15">
        <v>1</v>
      </c>
      <c r="Q28" s="15">
        <v>4312</v>
      </c>
      <c r="R28" s="15">
        <f t="shared" si="8"/>
        <v>9158.1974999999984</v>
      </c>
      <c r="S28" s="15">
        <f t="shared" si="9"/>
        <v>31786.592499999995</v>
      </c>
      <c r="T28" s="15">
        <f t="shared" si="10"/>
        <v>105052.17249999999</v>
      </c>
      <c r="U28" s="15">
        <f t="shared" si="24"/>
        <v>90234.955249999985</v>
      </c>
      <c r="V28" s="15">
        <f t="shared" si="11"/>
        <v>5414.0973149999991</v>
      </c>
      <c r="W28" s="15">
        <f t="shared" si="12"/>
        <v>3158.2234337499999</v>
      </c>
      <c r="X28" s="15">
        <f t="shared" si="0"/>
        <v>3151.5651749999993</v>
      </c>
      <c r="Y28" s="15">
        <f t="shared" si="1"/>
        <v>91581.974999999977</v>
      </c>
      <c r="Z28" s="15">
        <f t="shared" si="32"/>
        <v>146531.15999999997</v>
      </c>
      <c r="AA28" s="15">
        <f t="shared" si="25"/>
        <v>36632.789999999994</v>
      </c>
      <c r="AB28" s="15">
        <f t="shared" si="13"/>
        <v>18316.394999999997</v>
      </c>
      <c r="AC28" s="15"/>
      <c r="AD28" s="15"/>
      <c r="AE28" s="15"/>
      <c r="AF28" s="15"/>
      <c r="AG28" s="15">
        <f t="shared" si="26"/>
        <v>0</v>
      </c>
      <c r="AH28" s="15">
        <f t="shared" si="14"/>
        <v>205792.34499999994</v>
      </c>
      <c r="AI28" s="15">
        <f t="shared" si="15"/>
        <v>180901.11049999995</v>
      </c>
      <c r="AJ28" s="15">
        <f t="shared" si="16"/>
        <v>10854.066629999998</v>
      </c>
      <c r="AK28" s="15">
        <f t="shared" si="17"/>
        <v>6331.5388674999986</v>
      </c>
      <c r="AL28" s="15">
        <f t="shared" si="18"/>
        <v>6173.770349999998</v>
      </c>
      <c r="AM28" s="15">
        <f t="shared" si="2"/>
        <v>183163.94999999995</v>
      </c>
      <c r="AN28" s="16">
        <f t="shared" si="3"/>
        <v>1260.6260699999998</v>
      </c>
      <c r="AO28" s="16">
        <f t="shared" si="19"/>
        <v>64.969167779999992</v>
      </c>
      <c r="AP28" s="16">
        <f t="shared" si="4"/>
        <v>37.898681205000003</v>
      </c>
      <c r="AQ28" s="16">
        <f t="shared" si="4"/>
        <v>37.818782099999993</v>
      </c>
      <c r="AR28" s="16">
        <f t="shared" si="5"/>
        <v>91.581974999999971</v>
      </c>
      <c r="AS28" s="16">
        <f t="shared" si="27"/>
        <v>1492.8946760849997</v>
      </c>
      <c r="AT28" s="16">
        <f t="shared" si="20"/>
        <v>2469.5081399999995</v>
      </c>
      <c r="AU28" s="16">
        <f t="shared" si="28"/>
        <v>130.24879955999998</v>
      </c>
      <c r="AV28" s="16">
        <f t="shared" si="29"/>
        <v>75.978466409999982</v>
      </c>
      <c r="AW28" s="16">
        <f t="shared" si="29"/>
        <v>74.085244199999977</v>
      </c>
      <c r="AX28" s="16">
        <f t="shared" si="30"/>
        <v>183.16394999999994</v>
      </c>
      <c r="AY28" s="16">
        <f t="shared" si="31"/>
        <v>2932.9846001699993</v>
      </c>
      <c r="AZ28" s="17">
        <f>AT28+AT25</f>
        <v>4323.9767699999993</v>
      </c>
      <c r="BA28" s="5"/>
    </row>
    <row r="29" spans="2:53" x14ac:dyDescent="0.25">
      <c r="B29" s="11">
        <v>13</v>
      </c>
      <c r="C29" s="12" t="s">
        <v>93</v>
      </c>
      <c r="D29" s="13" t="s">
        <v>48</v>
      </c>
      <c r="E29" s="13" t="s">
        <v>73</v>
      </c>
      <c r="F29" s="13" t="s">
        <v>94</v>
      </c>
      <c r="G29" s="13" t="s">
        <v>83</v>
      </c>
      <c r="H29" s="13"/>
      <c r="I29" s="13" t="s">
        <v>76</v>
      </c>
      <c r="J29" s="13">
        <v>4.07</v>
      </c>
      <c r="K29" s="14">
        <v>18</v>
      </c>
      <c r="L29" s="14">
        <v>18</v>
      </c>
      <c r="M29" s="15">
        <f t="shared" si="6"/>
        <v>72026.790000000008</v>
      </c>
      <c r="N29" s="15">
        <f t="shared" ref="N29" si="33">SUM(M29:M29)</f>
        <v>72026.790000000008</v>
      </c>
      <c r="O29" s="15">
        <f t="shared" si="23"/>
        <v>18006.697500000002</v>
      </c>
      <c r="P29" s="15">
        <v>1</v>
      </c>
      <c r="Q29" s="15">
        <v>4312</v>
      </c>
      <c r="R29" s="15">
        <f t="shared" si="8"/>
        <v>9003.3487500000028</v>
      </c>
      <c r="S29" s="15">
        <f t="shared" si="9"/>
        <v>31322.046250000007</v>
      </c>
      <c r="T29" s="15">
        <f t="shared" si="10"/>
        <v>103348.83625000002</v>
      </c>
      <c r="U29" s="15">
        <f t="shared" si="24"/>
        <v>88701.95262500002</v>
      </c>
      <c r="V29" s="15">
        <f t="shared" si="11"/>
        <v>5322.1171575000008</v>
      </c>
      <c r="W29" s="15">
        <f t="shared" si="12"/>
        <v>3104.5683418750009</v>
      </c>
      <c r="X29" s="15">
        <f t="shared" si="0"/>
        <v>3100.4650875000007</v>
      </c>
      <c r="Y29" s="15">
        <f t="shared" si="1"/>
        <v>90033.487500000017</v>
      </c>
      <c r="Z29" s="15">
        <f t="shared" si="32"/>
        <v>144053.58000000002</v>
      </c>
      <c r="AA29" s="15">
        <f t="shared" si="25"/>
        <v>36013.395000000004</v>
      </c>
      <c r="AB29" s="15">
        <f t="shared" si="13"/>
        <v>18006.697500000006</v>
      </c>
      <c r="AC29" s="15"/>
      <c r="AD29" s="15"/>
      <c r="AE29" s="15"/>
      <c r="AF29" s="15"/>
      <c r="AG29" s="15"/>
      <c r="AH29" s="15">
        <f t="shared" si="14"/>
        <v>202385.67250000004</v>
      </c>
      <c r="AI29" s="15">
        <f t="shared" si="15"/>
        <v>177835.10525000002</v>
      </c>
      <c r="AJ29" s="15">
        <f t="shared" si="16"/>
        <v>10670.106315000001</v>
      </c>
      <c r="AK29" s="15">
        <f t="shared" si="17"/>
        <v>6224.2286837500014</v>
      </c>
      <c r="AL29" s="15">
        <f t="shared" si="18"/>
        <v>6071.5701750000007</v>
      </c>
      <c r="AM29" s="15">
        <f t="shared" si="2"/>
        <v>180066.97500000003</v>
      </c>
      <c r="AN29" s="16">
        <f t="shared" si="3"/>
        <v>1240.1860350000002</v>
      </c>
      <c r="AO29" s="16">
        <f t="shared" si="19"/>
        <v>63.865405890000012</v>
      </c>
      <c r="AP29" s="16">
        <f t="shared" si="4"/>
        <v>37.254820102500005</v>
      </c>
      <c r="AQ29" s="16">
        <f t="shared" si="4"/>
        <v>37.205581050000006</v>
      </c>
      <c r="AR29" s="16">
        <f t="shared" si="5"/>
        <v>90.033487500000021</v>
      </c>
      <c r="AS29" s="16">
        <f t="shared" si="27"/>
        <v>1468.5453295425002</v>
      </c>
      <c r="AT29" s="16">
        <f t="shared" si="20"/>
        <v>2428.6280700000007</v>
      </c>
      <c r="AU29" s="16">
        <f t="shared" si="28"/>
        <v>128.04127578000003</v>
      </c>
      <c r="AV29" s="16">
        <f t="shared" si="29"/>
        <v>74.690744205000016</v>
      </c>
      <c r="AW29" s="16">
        <f t="shared" si="29"/>
        <v>72.858842100000004</v>
      </c>
      <c r="AX29" s="16">
        <f t="shared" si="30"/>
        <v>180.06697500000004</v>
      </c>
      <c r="AY29" s="16">
        <f t="shared" si="31"/>
        <v>2884.2859070850009</v>
      </c>
      <c r="AZ29" s="5"/>
      <c r="BA29" s="5"/>
    </row>
    <row r="30" spans="2:53" x14ac:dyDescent="0.25">
      <c r="B30" s="11">
        <v>14</v>
      </c>
      <c r="C30" s="13" t="s">
        <v>95</v>
      </c>
      <c r="D30" s="13" t="s">
        <v>48</v>
      </c>
      <c r="E30" s="13" t="s">
        <v>73</v>
      </c>
      <c r="F30" s="13" t="s">
        <v>87</v>
      </c>
      <c r="G30" s="13"/>
      <c r="H30" s="13"/>
      <c r="I30" s="13" t="s">
        <v>80</v>
      </c>
      <c r="J30" s="13">
        <v>3.52</v>
      </c>
      <c r="K30" s="14">
        <v>9</v>
      </c>
      <c r="L30" s="14">
        <v>9</v>
      </c>
      <c r="M30" s="15">
        <f t="shared" si="6"/>
        <v>31146.720000000001</v>
      </c>
      <c r="N30" s="15">
        <f t="shared" si="22"/>
        <v>31146.720000000001</v>
      </c>
      <c r="O30" s="15">
        <f t="shared" si="23"/>
        <v>7786.68</v>
      </c>
      <c r="P30" s="15">
        <v>1</v>
      </c>
      <c r="Q30" s="15">
        <v>4312</v>
      </c>
      <c r="R30" s="15">
        <f>(N30+O30)*10%</f>
        <v>3893.34</v>
      </c>
      <c r="S30" s="15">
        <f t="shared" si="9"/>
        <v>15992.02</v>
      </c>
      <c r="T30" s="15">
        <f t="shared" si="10"/>
        <v>47138.740000000005</v>
      </c>
      <c r="U30" s="15">
        <f t="shared" si="24"/>
        <v>38112.866000000002</v>
      </c>
      <c r="V30" s="15">
        <f t="shared" si="11"/>
        <v>2286.77196</v>
      </c>
      <c r="W30" s="15">
        <f t="shared" si="12"/>
        <v>1333.9503100000002</v>
      </c>
      <c r="X30" s="15">
        <f>T30*3%</f>
        <v>1414.1622000000002</v>
      </c>
      <c r="Y30" s="15">
        <f>N30+O30</f>
        <v>38933.4</v>
      </c>
      <c r="Z30" s="15">
        <f t="shared" si="32"/>
        <v>62293.440000000002</v>
      </c>
      <c r="AA30" s="15">
        <f t="shared" si="25"/>
        <v>15573.36</v>
      </c>
      <c r="AB30" s="15">
        <f>(AA30+Z30)*10%</f>
        <v>7786.68</v>
      </c>
      <c r="AC30" s="15"/>
      <c r="AD30" s="15"/>
      <c r="AE30" s="15"/>
      <c r="AF30" s="15"/>
      <c r="AG30" s="15">
        <f t="shared" si="26"/>
        <v>0</v>
      </c>
      <c r="AH30" s="15">
        <f t="shared" si="14"/>
        <v>89965.48000000001</v>
      </c>
      <c r="AI30" s="15">
        <f>AH30-(AH30*10%)-Q30</f>
        <v>76656.932000000015</v>
      </c>
      <c r="AJ30" s="15">
        <f t="shared" si="16"/>
        <v>4599.4159200000004</v>
      </c>
      <c r="AK30" s="15">
        <f t="shared" si="17"/>
        <v>2682.9926200000009</v>
      </c>
      <c r="AL30" s="15">
        <f t="shared" si="18"/>
        <v>2698.9644000000003</v>
      </c>
      <c r="AM30" s="15">
        <f>Z30+AA30</f>
        <v>77866.8</v>
      </c>
      <c r="AN30" s="16">
        <f>(T30/1000)*12</f>
        <v>565.66488000000004</v>
      </c>
      <c r="AO30" s="16">
        <f t="shared" si="19"/>
        <v>27.44126352</v>
      </c>
      <c r="AP30" s="16">
        <f t="shared" si="19"/>
        <v>16.007403719999999</v>
      </c>
      <c r="AQ30" s="16">
        <f t="shared" si="19"/>
        <v>16.969946400000005</v>
      </c>
      <c r="AR30" s="16">
        <f>Y30/1000</f>
        <v>38.933399999999999</v>
      </c>
      <c r="AS30" s="16">
        <f t="shared" si="27"/>
        <v>665.01689364000003</v>
      </c>
      <c r="AT30" s="16">
        <f>(AH30/1000)*12</f>
        <v>1079.5857600000002</v>
      </c>
      <c r="AU30" s="16">
        <f t="shared" si="28"/>
        <v>55.192991040000003</v>
      </c>
      <c r="AV30" s="16">
        <f t="shared" si="29"/>
        <v>32.19591144000001</v>
      </c>
      <c r="AW30" s="16">
        <f t="shared" si="29"/>
        <v>32.387572800000001</v>
      </c>
      <c r="AX30" s="16">
        <f t="shared" si="30"/>
        <v>77.866799999999998</v>
      </c>
      <c r="AY30" s="16">
        <f t="shared" si="31"/>
        <v>1277.2290352800001</v>
      </c>
      <c r="AZ30" s="5"/>
      <c r="BA30" s="5"/>
    </row>
    <row r="31" spans="2:53" x14ac:dyDescent="0.25">
      <c r="B31" s="11"/>
      <c r="C31" s="13"/>
      <c r="D31" s="13" t="s">
        <v>48</v>
      </c>
      <c r="E31" s="13" t="s">
        <v>73</v>
      </c>
      <c r="F31" s="19" t="s">
        <v>96</v>
      </c>
      <c r="G31" s="13"/>
      <c r="H31" s="13"/>
      <c r="I31" s="13" t="s">
        <v>97</v>
      </c>
      <c r="J31" s="13">
        <v>3.52</v>
      </c>
      <c r="K31" s="14">
        <v>9</v>
      </c>
      <c r="L31" s="14">
        <v>9</v>
      </c>
      <c r="M31" s="15">
        <f t="shared" si="6"/>
        <v>31146.720000000001</v>
      </c>
      <c r="N31" s="15">
        <f t="shared" ref="N31" si="34">SUM(M31:M31)</f>
        <v>31146.720000000001</v>
      </c>
      <c r="O31" s="15">
        <f t="shared" si="23"/>
        <v>7786.68</v>
      </c>
      <c r="P31" s="15">
        <v>1</v>
      </c>
      <c r="Q31" s="15">
        <v>4312</v>
      </c>
      <c r="R31" s="15">
        <f>(N31+O31)*10%</f>
        <v>3893.34</v>
      </c>
      <c r="S31" s="15">
        <f t="shared" si="9"/>
        <v>15992.02</v>
      </c>
      <c r="T31" s="15">
        <f t="shared" si="10"/>
        <v>47138.740000000005</v>
      </c>
      <c r="U31" s="15">
        <f t="shared" si="24"/>
        <v>38112.866000000002</v>
      </c>
      <c r="V31" s="15">
        <f t="shared" si="11"/>
        <v>2286.77196</v>
      </c>
      <c r="W31" s="15">
        <f t="shared" si="12"/>
        <v>1333.9503100000002</v>
      </c>
      <c r="X31" s="15">
        <f>T31*3%</f>
        <v>1414.1622000000002</v>
      </c>
      <c r="Y31" s="15">
        <f>N31+O31</f>
        <v>38933.4</v>
      </c>
      <c r="Z31" s="15">
        <f t="shared" si="32"/>
        <v>62293.440000000002</v>
      </c>
      <c r="AA31" s="15">
        <f t="shared" si="25"/>
        <v>15573.36</v>
      </c>
      <c r="AB31" s="15">
        <f>(AA31+Z31)*10%</f>
        <v>7786.68</v>
      </c>
      <c r="AC31" s="15"/>
      <c r="AD31" s="15"/>
      <c r="AE31" s="15"/>
      <c r="AF31" s="15"/>
      <c r="AG31" s="15"/>
      <c r="AH31" s="15">
        <f t="shared" si="14"/>
        <v>89965.48000000001</v>
      </c>
      <c r="AI31" s="15">
        <f>AH31-(AH31*10%)-Q31</f>
        <v>76656.932000000015</v>
      </c>
      <c r="AJ31" s="15">
        <f t="shared" si="16"/>
        <v>4599.4159200000004</v>
      </c>
      <c r="AK31" s="15">
        <f t="shared" si="17"/>
        <v>2682.9926200000009</v>
      </c>
      <c r="AL31" s="15">
        <f t="shared" si="18"/>
        <v>2698.9644000000003</v>
      </c>
      <c r="AM31" s="15">
        <f>Z31+AA31</f>
        <v>77866.8</v>
      </c>
      <c r="AN31" s="16">
        <f>(T31/1000)*12</f>
        <v>565.66488000000004</v>
      </c>
      <c r="AO31" s="16">
        <f t="shared" si="19"/>
        <v>27.44126352</v>
      </c>
      <c r="AP31" s="16">
        <f t="shared" si="19"/>
        <v>16.007403719999999</v>
      </c>
      <c r="AQ31" s="16">
        <f t="shared" si="19"/>
        <v>16.969946400000005</v>
      </c>
      <c r="AR31" s="16">
        <f>Y31/1000</f>
        <v>38.933399999999999</v>
      </c>
      <c r="AS31" s="16">
        <f t="shared" si="27"/>
        <v>665.01689364000003</v>
      </c>
      <c r="AT31" s="16">
        <f>(AH31/1000)*12</f>
        <v>1079.5857600000002</v>
      </c>
      <c r="AU31" s="16">
        <f t="shared" si="28"/>
        <v>55.192991040000003</v>
      </c>
      <c r="AV31" s="16">
        <f t="shared" si="29"/>
        <v>32.19591144000001</v>
      </c>
      <c r="AW31" s="16">
        <f t="shared" si="29"/>
        <v>32.387572800000001</v>
      </c>
      <c r="AX31" s="16">
        <f t="shared" si="30"/>
        <v>77.866799999999998</v>
      </c>
      <c r="AY31" s="16">
        <f t="shared" si="31"/>
        <v>1277.2290352800001</v>
      </c>
      <c r="AZ31" s="5"/>
      <c r="BA31" s="5"/>
    </row>
    <row r="32" spans="2:53" x14ac:dyDescent="0.25">
      <c r="B32" s="19"/>
      <c r="C32" s="19" t="s">
        <v>27</v>
      </c>
      <c r="D32" s="19"/>
      <c r="E32" s="19"/>
      <c r="F32" s="19"/>
      <c r="G32" s="19"/>
      <c r="H32" s="19"/>
      <c r="I32" s="19"/>
      <c r="J32" s="19"/>
      <c r="K32" s="20">
        <f>SUM(K17:K31)</f>
        <v>198</v>
      </c>
      <c r="L32" s="20">
        <f t="shared" ref="L32:AY32" si="35">SUM(L17:L31)</f>
        <v>198</v>
      </c>
      <c r="M32" s="20">
        <f t="shared" si="35"/>
        <v>860339.65499999991</v>
      </c>
      <c r="N32" s="20">
        <f t="shared" si="35"/>
        <v>860339.65499999991</v>
      </c>
      <c r="O32" s="20">
        <f t="shared" si="35"/>
        <v>215084.91374999998</v>
      </c>
      <c r="P32" s="20">
        <f t="shared" si="35"/>
        <v>13</v>
      </c>
      <c r="Q32" s="20">
        <f t="shared" si="35"/>
        <v>51744</v>
      </c>
      <c r="R32" s="20">
        <f t="shared" si="35"/>
        <v>107542.45687499999</v>
      </c>
      <c r="S32" s="20">
        <f t="shared" si="35"/>
        <v>374371.37062500004</v>
      </c>
      <c r="T32" s="20">
        <f t="shared" si="35"/>
        <v>1234711.025625</v>
      </c>
      <c r="U32" s="20">
        <f t="shared" si="35"/>
        <v>1059495.9230625003</v>
      </c>
      <c r="V32" s="20">
        <f t="shared" si="35"/>
        <v>63569.755383749987</v>
      </c>
      <c r="W32" s="20">
        <f t="shared" si="35"/>
        <v>37082.357307187507</v>
      </c>
      <c r="X32" s="20">
        <f t="shared" si="35"/>
        <v>37041.330768749998</v>
      </c>
      <c r="Y32" s="20">
        <f t="shared" si="35"/>
        <v>1075424.5687500001</v>
      </c>
      <c r="Z32" s="20">
        <f t="shared" si="35"/>
        <v>1720679.3099999998</v>
      </c>
      <c r="AA32" s="20">
        <f t="shared" si="35"/>
        <v>430169.82749999996</v>
      </c>
      <c r="AB32" s="20">
        <f t="shared" si="35"/>
        <v>215084.91374999998</v>
      </c>
      <c r="AC32" s="20">
        <f t="shared" si="35"/>
        <v>94148.040000000023</v>
      </c>
      <c r="AD32" s="20">
        <f t="shared" si="35"/>
        <v>0</v>
      </c>
      <c r="AE32" s="20">
        <f t="shared" si="35"/>
        <v>87135.603750000009</v>
      </c>
      <c r="AF32" s="20">
        <f t="shared" si="35"/>
        <v>229176.15</v>
      </c>
      <c r="AG32" s="20">
        <f t="shared" si="35"/>
        <v>410459.79375000001</v>
      </c>
      <c r="AH32" s="20">
        <f t="shared" si="35"/>
        <v>2828137.8449999997</v>
      </c>
      <c r="AI32" s="20">
        <f t="shared" si="35"/>
        <v>2493580.0605000001</v>
      </c>
      <c r="AJ32" s="20">
        <f t="shared" si="35"/>
        <v>149614.80363000001</v>
      </c>
      <c r="AK32" s="20">
        <f t="shared" si="35"/>
        <v>87275.302117500018</v>
      </c>
      <c r="AL32" s="20">
        <f t="shared" si="35"/>
        <v>84844.135349999997</v>
      </c>
      <c r="AM32" s="20">
        <f t="shared" si="35"/>
        <v>2150849.1375000002</v>
      </c>
      <c r="AN32" s="20">
        <f t="shared" si="35"/>
        <v>14816.532307500001</v>
      </c>
      <c r="AO32" s="20">
        <f t="shared" si="35"/>
        <v>762.83706460500002</v>
      </c>
      <c r="AP32" s="20">
        <f t="shared" si="35"/>
        <v>444.98828768625003</v>
      </c>
      <c r="AQ32" s="20">
        <f t="shared" si="35"/>
        <v>444.49596922500018</v>
      </c>
      <c r="AR32" s="20">
        <f t="shared" si="35"/>
        <v>1075.4245687499997</v>
      </c>
      <c r="AS32" s="20">
        <f t="shared" si="35"/>
        <v>17544.278197766253</v>
      </c>
      <c r="AT32" s="20">
        <f t="shared" si="35"/>
        <v>33937.654140000006</v>
      </c>
      <c r="AU32" s="20">
        <f t="shared" si="35"/>
        <v>1795.37764356</v>
      </c>
      <c r="AV32" s="20">
        <f t="shared" si="35"/>
        <v>1047.30362541</v>
      </c>
      <c r="AW32" s="20">
        <f t="shared" si="35"/>
        <v>1018.1296242000003</v>
      </c>
      <c r="AX32" s="20">
        <f t="shared" si="35"/>
        <v>2150.8491374999994</v>
      </c>
      <c r="AY32" s="20">
        <f t="shared" si="35"/>
        <v>39949.314170670004</v>
      </c>
      <c r="AZ32" s="21"/>
      <c r="BA32" s="22"/>
    </row>
    <row r="33" spans="2:53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f t="shared" ref="V33:X33" si="36">V32*12</f>
        <v>762837.06460499985</v>
      </c>
      <c r="W33" s="5">
        <f t="shared" si="36"/>
        <v>444988.28768625006</v>
      </c>
      <c r="X33" s="5">
        <f t="shared" si="36"/>
        <v>444495.96922500001</v>
      </c>
      <c r="Y33" s="17">
        <f>Y32</f>
        <v>1075424.5687500001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17"/>
      <c r="AZ33" s="5"/>
      <c r="BA33" s="5"/>
    </row>
    <row r="34" spans="2:53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7"/>
      <c r="U34" s="5"/>
      <c r="V34" s="5"/>
      <c r="W34" s="5"/>
      <c r="X34" s="5"/>
      <c r="Y34" s="17">
        <f>T33+V33+W33+X33+Y33</f>
        <v>2727745.8902662499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2:53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4">
        <f>T32+V32+W32+X32</f>
        <v>1372404.4690846875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4"/>
      <c r="AZ35" s="23"/>
      <c r="BA35" s="23"/>
    </row>
    <row r="36" spans="2:53" x14ac:dyDescent="0.25">
      <c r="B36" s="2" t="s">
        <v>98</v>
      </c>
      <c r="C36" s="2"/>
      <c r="D36" s="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4">
        <f>Y35*12+Y32</f>
        <v>17544278.197766252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4"/>
      <c r="AT36" s="24"/>
      <c r="AU36" s="23"/>
      <c r="AV36" s="23"/>
      <c r="AW36" s="23"/>
      <c r="AX36" s="23"/>
      <c r="AY36" s="24"/>
      <c r="AZ36" s="23"/>
      <c r="BA36" s="23"/>
    </row>
    <row r="37" spans="2:53" x14ac:dyDescent="0.25">
      <c r="B37" s="2"/>
      <c r="C37" s="2"/>
      <c r="D37" s="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</row>
  </sheetData>
  <mergeCells count="57">
    <mergeCell ref="AK14:AK16"/>
    <mergeCell ref="AL14:AL16"/>
    <mergeCell ref="AN14:AN16"/>
    <mergeCell ref="W12:W16"/>
    <mergeCell ref="X12:X16"/>
    <mergeCell ref="Y12:Y16"/>
    <mergeCell ref="Z12:AM12"/>
    <mergeCell ref="AN12:AS13"/>
    <mergeCell ref="AO14:AO16"/>
    <mergeCell ref="AP14:AP16"/>
    <mergeCell ref="AQ14:AQ16"/>
    <mergeCell ref="Z14:Z16"/>
    <mergeCell ref="AA14:AA16"/>
    <mergeCell ref="AB14:AB16"/>
    <mergeCell ref="AC14:AG14"/>
    <mergeCell ref="AH14:AH16"/>
    <mergeCell ref="AJ14:AJ16"/>
    <mergeCell ref="AC15:AC16"/>
    <mergeCell ref="AD15:AD16"/>
    <mergeCell ref="AT12:AY13"/>
    <mergeCell ref="Z13:AB13"/>
    <mergeCell ref="AC13:AG13"/>
    <mergeCell ref="AH13:AL13"/>
    <mergeCell ref="AM13:AM16"/>
    <mergeCell ref="AX14:AX16"/>
    <mergeCell ref="AY14:AY16"/>
    <mergeCell ref="AE15:AE16"/>
    <mergeCell ref="AF15:AF16"/>
    <mergeCell ref="AG15:AG16"/>
    <mergeCell ref="AR14:AR16"/>
    <mergeCell ref="AS14:AS16"/>
    <mergeCell ref="AT14:AT16"/>
    <mergeCell ref="AU14:AU16"/>
    <mergeCell ref="AV14:AV16"/>
    <mergeCell ref="AW14:AW16"/>
    <mergeCell ref="V12:V16"/>
    <mergeCell ref="H12:H16"/>
    <mergeCell ref="I12:I16"/>
    <mergeCell ref="J12:J16"/>
    <mergeCell ref="K12:L12"/>
    <mergeCell ref="M12:N12"/>
    <mergeCell ref="O12:O16"/>
    <mergeCell ref="K13:K16"/>
    <mergeCell ref="L13:L16"/>
    <mergeCell ref="M13:M16"/>
    <mergeCell ref="N13:N16"/>
    <mergeCell ref="P12:Q15"/>
    <mergeCell ref="R12:R16"/>
    <mergeCell ref="S12:S16"/>
    <mergeCell ref="T12:T16"/>
    <mergeCell ref="U12:U16"/>
    <mergeCell ref="G12:G16"/>
    <mergeCell ref="B12:B16"/>
    <mergeCell ref="C12:C16"/>
    <mergeCell ref="D12:D16"/>
    <mergeCell ref="E12:E16"/>
    <mergeCell ref="F12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34"/>
  <sheetViews>
    <sheetView workbookViewId="0">
      <selection activeCell="H6" sqref="H6"/>
    </sheetView>
  </sheetViews>
  <sheetFormatPr defaultRowHeight="15" x14ac:dyDescent="0.25"/>
  <sheetData>
    <row r="3" spans="1:4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5"/>
      <c r="W3" s="25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</row>
    <row r="4" spans="1:41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 t="s">
        <v>1</v>
      </c>
      <c r="O4" s="25"/>
      <c r="P4" s="25"/>
      <c r="Q4" s="25"/>
      <c r="R4" s="25"/>
      <c r="S4" s="25"/>
      <c r="T4" s="25"/>
      <c r="U4" s="25"/>
      <c r="V4" s="25"/>
      <c r="W4" s="25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 x14ac:dyDescent="0.25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 t="s">
        <v>3</v>
      </c>
      <c r="O5" s="25"/>
      <c r="P5" s="25"/>
      <c r="Q5" s="25"/>
      <c r="R5" s="25"/>
      <c r="S5" s="25"/>
      <c r="T5" s="25"/>
      <c r="U5" s="25"/>
      <c r="V5" s="25"/>
      <c r="W5" s="25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 x14ac:dyDescent="0.25">
      <c r="A6" s="25" t="s">
        <v>99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 t="s">
        <v>100</v>
      </c>
      <c r="O6" s="25"/>
      <c r="P6" s="25"/>
      <c r="Q6" s="25"/>
      <c r="R6" s="25"/>
      <c r="S6" s="25"/>
      <c r="T6" s="25"/>
      <c r="U6" s="25"/>
      <c r="V6" s="25"/>
      <c r="W6" s="25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3"/>
      <c r="O7" s="23"/>
      <c r="P7" s="23"/>
      <c r="Q7" s="23"/>
      <c r="R7" s="23"/>
      <c r="S7" s="23"/>
      <c r="T7" s="25"/>
      <c r="U7" s="25"/>
      <c r="V7" s="25"/>
      <c r="W7" s="25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 x14ac:dyDescent="0.25">
      <c r="A9" s="25" t="s">
        <v>101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 x14ac:dyDescent="0.25">
      <c r="A10" s="25"/>
      <c r="B10" s="25"/>
      <c r="C10" s="25"/>
      <c r="D10" s="25" t="s">
        <v>102</v>
      </c>
      <c r="E10" s="25"/>
      <c r="F10" s="25"/>
      <c r="G10" s="25"/>
      <c r="H10" s="25"/>
      <c r="I10" s="25"/>
      <c r="J10" s="25"/>
      <c r="K10" s="25"/>
      <c r="L10" s="25"/>
      <c r="M10" s="25"/>
      <c r="N10" s="23"/>
      <c r="O10" s="23"/>
      <c r="P10" s="23"/>
      <c r="Q10" s="23"/>
      <c r="R10" s="23"/>
      <c r="S10" s="23"/>
      <c r="T10" s="23">
        <v>2525</v>
      </c>
      <c r="U10" s="23">
        <v>3063</v>
      </c>
      <c r="V10" s="24">
        <f>U10*1.25</f>
        <v>3828.75</v>
      </c>
      <c r="W10" s="23">
        <v>17697</v>
      </c>
      <c r="X10" s="23">
        <f>W10*2</f>
        <v>35394</v>
      </c>
      <c r="Y10" s="23"/>
      <c r="Z10" s="23" t="s">
        <v>103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1" ht="39" x14ac:dyDescent="0.25">
      <c r="A12" s="26" t="s">
        <v>8</v>
      </c>
      <c r="B12" s="27" t="s">
        <v>104</v>
      </c>
      <c r="C12" s="26" t="s">
        <v>105</v>
      </c>
      <c r="D12" s="26" t="s">
        <v>106</v>
      </c>
      <c r="E12" s="28" t="s">
        <v>107</v>
      </c>
      <c r="F12" s="28" t="s">
        <v>108</v>
      </c>
      <c r="G12" s="29" t="s">
        <v>109</v>
      </c>
      <c r="H12" s="29" t="s">
        <v>110</v>
      </c>
      <c r="I12" s="29" t="s">
        <v>111</v>
      </c>
      <c r="J12" s="29"/>
      <c r="K12" s="29" t="s">
        <v>112</v>
      </c>
      <c r="L12" s="30" t="s">
        <v>113</v>
      </c>
      <c r="M12" s="29" t="s">
        <v>112</v>
      </c>
      <c r="N12" s="31">
        <v>0.25</v>
      </c>
      <c r="O12" s="31"/>
      <c r="P12" s="31"/>
      <c r="Q12" s="31"/>
      <c r="R12" s="31"/>
      <c r="S12" s="31" t="s">
        <v>114</v>
      </c>
      <c r="T12" s="32" t="s">
        <v>115</v>
      </c>
      <c r="U12" s="33" t="s">
        <v>116</v>
      </c>
      <c r="V12" s="27" t="s">
        <v>117</v>
      </c>
      <c r="W12" s="27" t="s">
        <v>118</v>
      </c>
      <c r="X12" s="66" t="s">
        <v>119</v>
      </c>
      <c r="Y12" s="66" t="s">
        <v>120</v>
      </c>
      <c r="Z12" s="66" t="s">
        <v>121</v>
      </c>
      <c r="AA12" s="68">
        <v>0.1</v>
      </c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pans="1:41" ht="26.25" x14ac:dyDescent="0.25">
      <c r="A13" s="34"/>
      <c r="B13" s="35" t="s">
        <v>122</v>
      </c>
      <c r="C13" s="34"/>
      <c r="D13" s="34"/>
      <c r="E13" s="36" t="s">
        <v>123</v>
      </c>
      <c r="F13" s="36"/>
      <c r="G13" s="34" t="s">
        <v>124</v>
      </c>
      <c r="H13" s="34"/>
      <c r="I13" s="34"/>
      <c r="J13" s="34"/>
      <c r="K13" s="34" t="s">
        <v>125</v>
      </c>
      <c r="L13" s="37"/>
      <c r="M13" s="38" t="s">
        <v>126</v>
      </c>
      <c r="N13" s="39" t="s">
        <v>127</v>
      </c>
      <c r="O13" s="39" t="s">
        <v>128</v>
      </c>
      <c r="P13" s="39"/>
      <c r="Q13" s="39"/>
      <c r="R13" s="39"/>
      <c r="S13" s="39"/>
      <c r="T13" s="35"/>
      <c r="U13" s="40"/>
      <c r="V13" s="35" t="s">
        <v>129</v>
      </c>
      <c r="W13" s="35"/>
      <c r="X13" s="67"/>
      <c r="Y13" s="67"/>
      <c r="Z13" s="67"/>
      <c r="AA13" s="69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  <row r="14" spans="1:41" x14ac:dyDescent="0.25">
      <c r="A14" s="12">
        <v>1</v>
      </c>
      <c r="B14" s="12" t="s">
        <v>47</v>
      </c>
      <c r="C14" s="41" t="s">
        <v>130</v>
      </c>
      <c r="D14" s="41" t="s">
        <v>49</v>
      </c>
      <c r="E14" s="41" t="s">
        <v>131</v>
      </c>
      <c r="F14" s="41" t="s">
        <v>49</v>
      </c>
      <c r="G14" s="41" t="s">
        <v>132</v>
      </c>
      <c r="H14" s="12" t="s">
        <v>52</v>
      </c>
      <c r="I14" s="12">
        <v>5.32</v>
      </c>
      <c r="J14" s="12"/>
      <c r="K14" s="42">
        <f>I14*35394</f>
        <v>188296.08000000002</v>
      </c>
      <c r="L14" s="12">
        <v>9</v>
      </c>
      <c r="M14" s="42">
        <f>K14/18*L14</f>
        <v>94148.040000000008</v>
      </c>
      <c r="N14" s="42">
        <f>M14*25%</f>
        <v>23537.010000000002</v>
      </c>
      <c r="O14" s="43">
        <f t="shared" ref="O14:O16" si="0">M14+N14</f>
        <v>117685.05000000002</v>
      </c>
      <c r="P14" s="43">
        <v>0.4</v>
      </c>
      <c r="Q14" s="43">
        <f>O14*P14</f>
        <v>47074.020000000011</v>
      </c>
      <c r="R14" s="43">
        <f>O14+Q14</f>
        <v>164759.07000000004</v>
      </c>
      <c r="S14" s="42">
        <f>O14*10%</f>
        <v>11768.505000000003</v>
      </c>
      <c r="T14" s="42"/>
      <c r="U14" s="43">
        <f>R14+S14+T14</f>
        <v>176527.57500000004</v>
      </c>
      <c r="V14" s="44">
        <f>U14*12</f>
        <v>2118330.9000000004</v>
      </c>
      <c r="W14" s="43">
        <f>O14</f>
        <v>117685.05000000002</v>
      </c>
      <c r="X14" s="42">
        <f>(U14-T14-AA14)*6%</f>
        <v>9532.489050000002</v>
      </c>
      <c r="Y14" s="42">
        <f>(U14-T14-AA14)*3.5%</f>
        <v>5560.6186125000013</v>
      </c>
      <c r="Z14" s="42">
        <f>(U14)*3%</f>
        <v>5295.8272500000012</v>
      </c>
      <c r="AA14" s="42">
        <f>U14*10%</f>
        <v>17652.757500000003</v>
      </c>
      <c r="AB14" s="24" t="e">
        <f t="shared" ref="AB14" si="1">#REF!</f>
        <v>#REF!</v>
      </c>
      <c r="AC14" s="24" t="e">
        <f>W14-AB14</f>
        <v>#REF!</v>
      </c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</row>
    <row r="15" spans="1:41" x14ac:dyDescent="0.25">
      <c r="A15" s="12">
        <v>2</v>
      </c>
      <c r="B15" s="12" t="s">
        <v>56</v>
      </c>
      <c r="C15" s="41" t="s">
        <v>130</v>
      </c>
      <c r="D15" s="41" t="s">
        <v>49</v>
      </c>
      <c r="E15" s="45" t="s">
        <v>133</v>
      </c>
      <c r="F15" s="41" t="s">
        <v>134</v>
      </c>
      <c r="G15" s="41" t="s">
        <v>135</v>
      </c>
      <c r="H15" s="12" t="s">
        <v>60</v>
      </c>
      <c r="I15" s="12">
        <v>4.95</v>
      </c>
      <c r="J15" s="12"/>
      <c r="K15" s="42">
        <f t="shared" ref="K15:K25" si="2">I15*35394</f>
        <v>175200.30000000002</v>
      </c>
      <c r="L15" s="12">
        <v>18</v>
      </c>
      <c r="M15" s="42">
        <f t="shared" ref="M15:M23" si="3">K15/18*L15</f>
        <v>175200.30000000002</v>
      </c>
      <c r="N15" s="42">
        <f t="shared" ref="N15:N25" si="4">M15*25%</f>
        <v>43800.075000000004</v>
      </c>
      <c r="O15" s="43">
        <f t="shared" si="0"/>
        <v>219000.37500000003</v>
      </c>
      <c r="P15" s="43">
        <v>0.35</v>
      </c>
      <c r="Q15" s="43">
        <f>O15*P15</f>
        <v>76650.131250000006</v>
      </c>
      <c r="R15" s="43">
        <f t="shared" ref="R15:R25" si="5">O15+Q15</f>
        <v>295650.50625000003</v>
      </c>
      <c r="S15" s="42">
        <f t="shared" ref="S15:S25" si="6">O15*10%</f>
        <v>21900.037500000006</v>
      </c>
      <c r="T15" s="42"/>
      <c r="U15" s="43">
        <f>R15+S15+T15</f>
        <v>317550.54375000007</v>
      </c>
      <c r="V15" s="44">
        <f t="shared" ref="V15:V25" si="7">U15*12</f>
        <v>3810606.5250000008</v>
      </c>
      <c r="W15" s="43">
        <f t="shared" ref="W15:W25" si="8">O15</f>
        <v>219000.37500000003</v>
      </c>
      <c r="X15" s="42">
        <f t="shared" ref="X15:X25" si="9">(U15-T15-AA15)*6%</f>
        <v>17147.729362500002</v>
      </c>
      <c r="Y15" s="42">
        <f t="shared" ref="Y15:Y25" si="10">(U15-T15-AA15)*3.5%</f>
        <v>10002.842128125003</v>
      </c>
      <c r="Z15" s="42">
        <f t="shared" ref="Z15:Z25" si="11">(U15)*3%</f>
        <v>9526.5163125000017</v>
      </c>
      <c r="AA15" s="42">
        <f t="shared" ref="AA15:AA23" si="12">U15*10%</f>
        <v>31755.054375000007</v>
      </c>
      <c r="AB15" s="24" t="e">
        <f t="shared" ref="AB15" si="13">#REF!</f>
        <v>#REF!</v>
      </c>
      <c r="AC15" s="24" t="e">
        <f t="shared" ref="AC15:AC25" si="14">W15-AB15</f>
        <v>#REF!</v>
      </c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</row>
    <row r="16" spans="1:41" ht="26.25" x14ac:dyDescent="0.25">
      <c r="A16" s="12">
        <v>3</v>
      </c>
      <c r="B16" s="12" t="s">
        <v>61</v>
      </c>
      <c r="C16" s="41" t="s">
        <v>130</v>
      </c>
      <c r="D16" s="41" t="s">
        <v>49</v>
      </c>
      <c r="E16" s="45" t="s">
        <v>136</v>
      </c>
      <c r="F16" s="41" t="s">
        <v>134</v>
      </c>
      <c r="G16" s="41" t="s">
        <v>137</v>
      </c>
      <c r="H16" s="12" t="s">
        <v>60</v>
      </c>
      <c r="I16" s="12">
        <v>4.95</v>
      </c>
      <c r="J16" s="12"/>
      <c r="K16" s="42">
        <f t="shared" si="2"/>
        <v>175200.30000000002</v>
      </c>
      <c r="L16" s="12">
        <v>18</v>
      </c>
      <c r="M16" s="42">
        <f t="shared" si="3"/>
        <v>175200.30000000002</v>
      </c>
      <c r="N16" s="42">
        <f t="shared" si="4"/>
        <v>43800.075000000004</v>
      </c>
      <c r="O16" s="43">
        <f t="shared" si="0"/>
        <v>219000.37500000003</v>
      </c>
      <c r="P16" s="43">
        <v>0.35</v>
      </c>
      <c r="Q16" s="43">
        <f>O16*P16</f>
        <v>76650.131250000006</v>
      </c>
      <c r="R16" s="43">
        <f t="shared" si="5"/>
        <v>295650.50625000003</v>
      </c>
      <c r="S16" s="42">
        <f>O16*10%</f>
        <v>21900.037500000006</v>
      </c>
      <c r="T16" s="42"/>
      <c r="U16" s="43">
        <f t="shared" ref="U16:U25" si="15">R16+S16+T16</f>
        <v>317550.54375000007</v>
      </c>
      <c r="V16" s="44">
        <f t="shared" si="7"/>
        <v>3810606.5250000008</v>
      </c>
      <c r="W16" s="43">
        <f t="shared" si="8"/>
        <v>219000.37500000003</v>
      </c>
      <c r="X16" s="42">
        <f t="shared" si="9"/>
        <v>17147.729362500002</v>
      </c>
      <c r="Y16" s="42">
        <f t="shared" si="10"/>
        <v>10002.842128125003</v>
      </c>
      <c r="Z16" s="42">
        <f t="shared" si="11"/>
        <v>9526.5163125000017</v>
      </c>
      <c r="AA16" s="42">
        <f t="shared" si="12"/>
        <v>31755.054375000007</v>
      </c>
      <c r="AB16" s="24" t="e">
        <f t="shared" ref="AB16" si="16">#REF!</f>
        <v>#REF!</v>
      </c>
      <c r="AC16" s="24" t="e">
        <f t="shared" si="14"/>
        <v>#REF!</v>
      </c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</row>
    <row r="17" spans="1:41" x14ac:dyDescent="0.25">
      <c r="A17" s="12">
        <v>4</v>
      </c>
      <c r="B17" s="12" t="s">
        <v>64</v>
      </c>
      <c r="C17" s="41" t="s">
        <v>130</v>
      </c>
      <c r="D17" s="41" t="s">
        <v>49</v>
      </c>
      <c r="E17" s="41" t="s">
        <v>131</v>
      </c>
      <c r="F17" s="41" t="s">
        <v>66</v>
      </c>
      <c r="G17" s="41" t="s">
        <v>138</v>
      </c>
      <c r="H17" s="12" t="s">
        <v>67</v>
      </c>
      <c r="I17" s="12">
        <v>4.9000000000000004</v>
      </c>
      <c r="J17" s="12"/>
      <c r="K17" s="42">
        <f t="shared" si="2"/>
        <v>173430.6</v>
      </c>
      <c r="L17" s="12">
        <v>18</v>
      </c>
      <c r="M17" s="42">
        <f t="shared" si="3"/>
        <v>173430.59999999998</v>
      </c>
      <c r="N17" s="42">
        <f t="shared" si="4"/>
        <v>43357.649999999994</v>
      </c>
      <c r="O17" s="43">
        <f>M17+N17</f>
        <v>216788.24999999997</v>
      </c>
      <c r="P17" s="43">
        <v>0.35</v>
      </c>
      <c r="Q17" s="43">
        <f>O17*P17</f>
        <v>75875.887499999983</v>
      </c>
      <c r="R17" s="43">
        <f t="shared" si="5"/>
        <v>292664.13749999995</v>
      </c>
      <c r="S17" s="42">
        <f t="shared" si="6"/>
        <v>21678.824999999997</v>
      </c>
      <c r="T17" s="42"/>
      <c r="U17" s="43">
        <f t="shared" si="15"/>
        <v>314342.96249999997</v>
      </c>
      <c r="V17" s="44">
        <f t="shared" si="7"/>
        <v>3772115.55</v>
      </c>
      <c r="W17" s="43">
        <f t="shared" si="8"/>
        <v>216788.24999999997</v>
      </c>
      <c r="X17" s="42">
        <f t="shared" si="9"/>
        <v>16974.519974999996</v>
      </c>
      <c r="Y17" s="42">
        <f t="shared" si="10"/>
        <v>9901.8033187499987</v>
      </c>
      <c r="Z17" s="42">
        <f t="shared" si="11"/>
        <v>9430.2888749999984</v>
      </c>
      <c r="AA17" s="42">
        <f t="shared" si="12"/>
        <v>31434.296249999999</v>
      </c>
      <c r="AB17" s="24" t="e">
        <f t="shared" ref="AB17" si="17">#REF!</f>
        <v>#REF!</v>
      </c>
      <c r="AC17" s="24" t="e">
        <f t="shared" si="14"/>
        <v>#REF!</v>
      </c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</row>
    <row r="18" spans="1:41" x14ac:dyDescent="0.25">
      <c r="A18" s="12">
        <v>5</v>
      </c>
      <c r="B18" s="12" t="s">
        <v>68</v>
      </c>
      <c r="C18" s="41" t="s">
        <v>130</v>
      </c>
      <c r="D18" s="41" t="s">
        <v>49</v>
      </c>
      <c r="E18" s="41" t="s">
        <v>139</v>
      </c>
      <c r="F18" s="41" t="s">
        <v>49</v>
      </c>
      <c r="G18" s="41" t="s">
        <v>140</v>
      </c>
      <c r="H18" s="12" t="s">
        <v>52</v>
      </c>
      <c r="I18" s="12">
        <v>4.7300000000000004</v>
      </c>
      <c r="J18" s="12"/>
      <c r="K18" s="42">
        <f t="shared" si="2"/>
        <v>167413.62000000002</v>
      </c>
      <c r="L18" s="12">
        <v>18</v>
      </c>
      <c r="M18" s="42">
        <f t="shared" si="3"/>
        <v>167413.62000000002</v>
      </c>
      <c r="N18" s="42">
        <f t="shared" si="4"/>
        <v>41853.405000000006</v>
      </c>
      <c r="O18" s="43">
        <f t="shared" ref="O18:O25" si="18">M18+N18</f>
        <v>209267.02500000002</v>
      </c>
      <c r="P18" s="43"/>
      <c r="Q18" s="43">
        <f>O18*P18</f>
        <v>0</v>
      </c>
      <c r="R18" s="43">
        <f t="shared" si="5"/>
        <v>209267.02500000002</v>
      </c>
      <c r="S18" s="42">
        <f t="shared" si="6"/>
        <v>20926.702500000003</v>
      </c>
      <c r="T18" s="42"/>
      <c r="U18" s="43">
        <f t="shared" si="15"/>
        <v>230193.72750000004</v>
      </c>
      <c r="V18" s="44">
        <f t="shared" si="7"/>
        <v>2762324.7300000004</v>
      </c>
      <c r="W18" s="43">
        <f t="shared" si="8"/>
        <v>209267.02500000002</v>
      </c>
      <c r="X18" s="42">
        <f t="shared" si="9"/>
        <v>12430.461285000001</v>
      </c>
      <c r="Y18" s="42">
        <f t="shared" si="10"/>
        <v>7251.1024162500016</v>
      </c>
      <c r="Z18" s="42">
        <f t="shared" si="11"/>
        <v>6905.8118250000007</v>
      </c>
      <c r="AA18" s="42">
        <f t="shared" si="12"/>
        <v>23019.372750000006</v>
      </c>
      <c r="AB18" s="24" t="e">
        <f t="shared" ref="AB18" si="19">#REF!</f>
        <v>#REF!</v>
      </c>
      <c r="AC18" s="24" t="e">
        <f t="shared" si="14"/>
        <v>#REF!</v>
      </c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x14ac:dyDescent="0.25">
      <c r="A19" s="12">
        <v>6</v>
      </c>
      <c r="B19" s="12" t="s">
        <v>72</v>
      </c>
      <c r="C19" s="41" t="s">
        <v>130</v>
      </c>
      <c r="D19" s="41" t="s">
        <v>141</v>
      </c>
      <c r="E19" s="41" t="s">
        <v>75</v>
      </c>
      <c r="F19" s="41" t="s">
        <v>66</v>
      </c>
      <c r="G19" s="41" t="s">
        <v>142</v>
      </c>
      <c r="H19" s="12" t="s">
        <v>76</v>
      </c>
      <c r="I19" s="12">
        <v>4.07</v>
      </c>
      <c r="J19" s="12"/>
      <c r="K19" s="42">
        <f t="shared" si="2"/>
        <v>144053.58000000002</v>
      </c>
      <c r="L19" s="12">
        <v>18</v>
      </c>
      <c r="M19" s="42">
        <f t="shared" si="3"/>
        <v>144053.58000000002</v>
      </c>
      <c r="N19" s="42">
        <f t="shared" si="4"/>
        <v>36013.395000000004</v>
      </c>
      <c r="O19" s="43">
        <f t="shared" si="18"/>
        <v>180066.97500000003</v>
      </c>
      <c r="P19" s="43">
        <v>0.3</v>
      </c>
      <c r="Q19" s="43">
        <f t="shared" ref="Q19:Q21" si="20">O19*P19</f>
        <v>54020.092500000006</v>
      </c>
      <c r="R19" s="43">
        <f t="shared" si="5"/>
        <v>234087.06750000003</v>
      </c>
      <c r="S19" s="42">
        <f t="shared" si="6"/>
        <v>18006.697500000006</v>
      </c>
      <c r="T19" s="42"/>
      <c r="U19" s="43">
        <f t="shared" si="15"/>
        <v>252093.76500000004</v>
      </c>
      <c r="V19" s="44">
        <f t="shared" si="7"/>
        <v>3025125.1800000006</v>
      </c>
      <c r="W19" s="43">
        <f t="shared" si="8"/>
        <v>180066.97500000003</v>
      </c>
      <c r="X19" s="42">
        <f t="shared" si="9"/>
        <v>13613.063310000001</v>
      </c>
      <c r="Y19" s="42">
        <f t="shared" si="10"/>
        <v>7940.9535975000017</v>
      </c>
      <c r="Z19" s="42">
        <f t="shared" si="11"/>
        <v>7562.8129500000014</v>
      </c>
      <c r="AA19" s="42">
        <f t="shared" si="12"/>
        <v>25209.376500000006</v>
      </c>
      <c r="AB19" s="24" t="e">
        <f t="shared" ref="AB19" si="21">#REF!</f>
        <v>#REF!</v>
      </c>
      <c r="AC19" s="24" t="e">
        <f t="shared" si="14"/>
        <v>#REF!</v>
      </c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</row>
    <row r="20" spans="1:41" x14ac:dyDescent="0.25">
      <c r="A20" s="12">
        <v>7</v>
      </c>
      <c r="B20" s="12" t="s">
        <v>93</v>
      </c>
      <c r="C20" s="41" t="s">
        <v>130</v>
      </c>
      <c r="D20" s="41" t="s">
        <v>141</v>
      </c>
      <c r="E20" s="41" t="s">
        <v>143</v>
      </c>
      <c r="F20" s="41"/>
      <c r="G20" s="41" t="s">
        <v>144</v>
      </c>
      <c r="H20" s="12" t="s">
        <v>71</v>
      </c>
      <c r="I20" s="12">
        <v>4.07</v>
      </c>
      <c r="J20" s="12"/>
      <c r="K20" s="42">
        <f t="shared" si="2"/>
        <v>144053.58000000002</v>
      </c>
      <c r="L20" s="12">
        <v>18</v>
      </c>
      <c r="M20" s="42">
        <f t="shared" si="3"/>
        <v>144053.58000000002</v>
      </c>
      <c r="N20" s="42">
        <f t="shared" si="4"/>
        <v>36013.395000000004</v>
      </c>
      <c r="O20" s="43">
        <f t="shared" si="18"/>
        <v>180066.97500000003</v>
      </c>
      <c r="P20" s="43"/>
      <c r="Q20" s="43">
        <f t="shared" si="20"/>
        <v>0</v>
      </c>
      <c r="R20" s="43">
        <f t="shared" si="5"/>
        <v>180066.97500000003</v>
      </c>
      <c r="S20" s="42">
        <f t="shared" si="6"/>
        <v>18006.697500000006</v>
      </c>
      <c r="T20" s="42"/>
      <c r="U20" s="43">
        <f t="shared" si="15"/>
        <v>198073.67250000004</v>
      </c>
      <c r="V20" s="44">
        <f t="shared" si="7"/>
        <v>2376884.0700000003</v>
      </c>
      <c r="W20" s="43">
        <f t="shared" si="8"/>
        <v>180066.97500000003</v>
      </c>
      <c r="X20" s="42">
        <f t="shared" si="9"/>
        <v>10695.978315000002</v>
      </c>
      <c r="Y20" s="42">
        <f t="shared" si="10"/>
        <v>6239.320683750002</v>
      </c>
      <c r="Z20" s="42">
        <f t="shared" si="11"/>
        <v>5942.2101750000011</v>
      </c>
      <c r="AA20" s="42">
        <f t="shared" si="12"/>
        <v>19807.367250000007</v>
      </c>
      <c r="AB20" s="24" t="e">
        <f t="shared" ref="AB20" si="22">#REF!</f>
        <v>#REF!</v>
      </c>
      <c r="AC20" s="24" t="e">
        <f t="shared" si="14"/>
        <v>#REF!</v>
      </c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</row>
    <row r="21" spans="1:41" x14ac:dyDescent="0.25">
      <c r="A21" s="12">
        <v>8</v>
      </c>
      <c r="B21" s="12" t="s">
        <v>145</v>
      </c>
      <c r="C21" s="41" t="s">
        <v>130</v>
      </c>
      <c r="D21" s="41" t="s">
        <v>141</v>
      </c>
      <c r="E21" s="41" t="s">
        <v>146</v>
      </c>
      <c r="F21" s="41"/>
      <c r="G21" s="41" t="s">
        <v>147</v>
      </c>
      <c r="H21" s="12" t="s">
        <v>80</v>
      </c>
      <c r="I21" s="12">
        <v>3.71</v>
      </c>
      <c r="J21" s="12"/>
      <c r="K21" s="42">
        <f t="shared" si="2"/>
        <v>131311.74</v>
      </c>
      <c r="L21" s="12">
        <v>9</v>
      </c>
      <c r="M21" s="42">
        <f t="shared" si="3"/>
        <v>65655.87</v>
      </c>
      <c r="N21" s="42">
        <f t="shared" si="4"/>
        <v>16413.967499999999</v>
      </c>
      <c r="O21" s="43">
        <f t="shared" si="18"/>
        <v>82069.837499999994</v>
      </c>
      <c r="P21" s="43"/>
      <c r="Q21" s="43">
        <f t="shared" si="20"/>
        <v>0</v>
      </c>
      <c r="R21" s="43">
        <f t="shared" si="5"/>
        <v>82069.837499999994</v>
      </c>
      <c r="S21" s="42">
        <f t="shared" si="6"/>
        <v>8206.9837499999994</v>
      </c>
      <c r="T21" s="42"/>
      <c r="U21" s="43">
        <f t="shared" si="15"/>
        <v>90276.821249999994</v>
      </c>
      <c r="V21" s="44">
        <f t="shared" si="7"/>
        <v>1083321.855</v>
      </c>
      <c r="W21" s="43">
        <f t="shared" si="8"/>
        <v>82069.837499999994</v>
      </c>
      <c r="X21" s="42">
        <f t="shared" si="9"/>
        <v>4874.9483474999988</v>
      </c>
      <c r="Y21" s="42">
        <f t="shared" si="10"/>
        <v>2843.7198693749997</v>
      </c>
      <c r="Z21" s="42">
        <f t="shared" si="11"/>
        <v>2708.3046374999999</v>
      </c>
      <c r="AA21" s="42">
        <f t="shared" si="12"/>
        <v>9027.6821249999994</v>
      </c>
      <c r="AB21" s="24" t="e">
        <f t="shared" ref="AB21" si="23">#REF!</f>
        <v>#REF!</v>
      </c>
      <c r="AC21" s="24" t="e">
        <f t="shared" si="14"/>
        <v>#REF!</v>
      </c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1:41" x14ac:dyDescent="0.25">
      <c r="A22" s="12">
        <v>9</v>
      </c>
      <c r="B22" s="12" t="s">
        <v>148</v>
      </c>
      <c r="C22" s="41" t="s">
        <v>130</v>
      </c>
      <c r="D22" s="41" t="s">
        <v>49</v>
      </c>
      <c r="E22" s="41" t="s">
        <v>143</v>
      </c>
      <c r="F22" s="41" t="s">
        <v>66</v>
      </c>
      <c r="G22" s="41" t="s">
        <v>149</v>
      </c>
      <c r="H22" s="12" t="s">
        <v>67</v>
      </c>
      <c r="I22" s="12">
        <v>4.99</v>
      </c>
      <c r="J22" s="12"/>
      <c r="K22" s="42">
        <f t="shared" si="2"/>
        <v>176616.06</v>
      </c>
      <c r="L22" s="12">
        <v>9</v>
      </c>
      <c r="M22" s="42">
        <f t="shared" si="3"/>
        <v>88308.03</v>
      </c>
      <c r="N22" s="42">
        <f t="shared" si="4"/>
        <v>22077.0075</v>
      </c>
      <c r="O22" s="43">
        <f t="shared" si="18"/>
        <v>110385.03750000001</v>
      </c>
      <c r="P22" s="43">
        <v>0.3</v>
      </c>
      <c r="Q22" s="43">
        <f>O22*P22</f>
        <v>33115.511250000003</v>
      </c>
      <c r="R22" s="43">
        <f t="shared" si="5"/>
        <v>143500.54875000002</v>
      </c>
      <c r="S22" s="42">
        <f t="shared" si="6"/>
        <v>11038.503750000002</v>
      </c>
      <c r="T22" s="12"/>
      <c r="U22" s="43">
        <f t="shared" si="15"/>
        <v>154539.05250000002</v>
      </c>
      <c r="V22" s="44">
        <f t="shared" si="7"/>
        <v>1854468.6300000004</v>
      </c>
      <c r="W22" s="43">
        <f t="shared" si="8"/>
        <v>110385.03750000001</v>
      </c>
      <c r="X22" s="42">
        <f t="shared" si="9"/>
        <v>8345.1088350000009</v>
      </c>
      <c r="Y22" s="42">
        <f t="shared" si="10"/>
        <v>4867.9801537500007</v>
      </c>
      <c r="Z22" s="42">
        <f t="shared" si="11"/>
        <v>4636.1715750000003</v>
      </c>
      <c r="AA22" s="42">
        <f t="shared" si="12"/>
        <v>15453.905250000003</v>
      </c>
      <c r="AB22" s="24" t="e">
        <f t="shared" ref="AB22" si="24">#REF!</f>
        <v>#REF!</v>
      </c>
      <c r="AC22" s="24" t="e">
        <f t="shared" si="14"/>
        <v>#REF!</v>
      </c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</row>
    <row r="23" spans="1:41" x14ac:dyDescent="0.25">
      <c r="A23" s="12">
        <v>10</v>
      </c>
      <c r="B23" s="12" t="s">
        <v>150</v>
      </c>
      <c r="C23" s="41" t="s">
        <v>130</v>
      </c>
      <c r="D23" s="41" t="s">
        <v>141</v>
      </c>
      <c r="E23" s="41" t="s">
        <v>79</v>
      </c>
      <c r="F23" s="41" t="s">
        <v>134</v>
      </c>
      <c r="G23" s="12" t="s">
        <v>151</v>
      </c>
      <c r="H23" s="12" t="s">
        <v>52</v>
      </c>
      <c r="I23" s="12">
        <v>5.32</v>
      </c>
      <c r="J23" s="12"/>
      <c r="K23" s="42">
        <f t="shared" si="2"/>
        <v>188296.08000000002</v>
      </c>
      <c r="L23" s="12">
        <v>9</v>
      </c>
      <c r="M23" s="42">
        <f t="shared" si="3"/>
        <v>94148.040000000008</v>
      </c>
      <c r="N23" s="42">
        <f t="shared" si="4"/>
        <v>23537.010000000002</v>
      </c>
      <c r="O23" s="43">
        <f t="shared" si="18"/>
        <v>117685.05000000002</v>
      </c>
      <c r="P23" s="43">
        <v>0.4</v>
      </c>
      <c r="Q23" s="43">
        <f>O23*P23</f>
        <v>47074.020000000011</v>
      </c>
      <c r="R23" s="43">
        <f t="shared" si="5"/>
        <v>164759.07000000004</v>
      </c>
      <c r="S23" s="42">
        <f t="shared" si="6"/>
        <v>11768.505000000003</v>
      </c>
      <c r="T23" s="42"/>
      <c r="U23" s="43">
        <f t="shared" si="15"/>
        <v>176527.57500000004</v>
      </c>
      <c r="V23" s="44">
        <f t="shared" si="7"/>
        <v>2118330.9000000004</v>
      </c>
      <c r="W23" s="43">
        <f t="shared" si="8"/>
        <v>117685.05000000002</v>
      </c>
      <c r="X23" s="42">
        <f t="shared" si="9"/>
        <v>9532.489050000002</v>
      </c>
      <c r="Y23" s="42">
        <f t="shared" si="10"/>
        <v>5560.6186125000013</v>
      </c>
      <c r="Z23" s="42">
        <f t="shared" si="11"/>
        <v>5295.8272500000012</v>
      </c>
      <c r="AA23" s="42">
        <f t="shared" si="12"/>
        <v>17652.757500000003</v>
      </c>
      <c r="AB23" s="24" t="e">
        <f t="shared" ref="AB23" si="25">#REF!</f>
        <v>#REF!</v>
      </c>
      <c r="AC23" s="24" t="e">
        <f t="shared" si="14"/>
        <v>#REF!</v>
      </c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1:41" x14ac:dyDescent="0.25">
      <c r="A24" s="12">
        <v>11</v>
      </c>
      <c r="B24" s="12" t="s">
        <v>84</v>
      </c>
      <c r="C24" s="41" t="s">
        <v>130</v>
      </c>
      <c r="D24" s="41" t="s">
        <v>141</v>
      </c>
      <c r="E24" s="41" t="s">
        <v>131</v>
      </c>
      <c r="F24" s="41"/>
      <c r="G24" s="12" t="s">
        <v>152</v>
      </c>
      <c r="H24" s="12" t="s">
        <v>80</v>
      </c>
      <c r="I24" s="12">
        <v>3.71</v>
      </c>
      <c r="J24" s="12"/>
      <c r="K24" s="42">
        <f t="shared" si="2"/>
        <v>131311.74</v>
      </c>
      <c r="L24" s="12">
        <v>18</v>
      </c>
      <c r="M24" s="42">
        <f>K24/18*L24</f>
        <v>131311.74</v>
      </c>
      <c r="N24" s="42">
        <f t="shared" si="4"/>
        <v>32827.934999999998</v>
      </c>
      <c r="O24" s="43">
        <f t="shared" si="18"/>
        <v>164139.67499999999</v>
      </c>
      <c r="P24" s="43"/>
      <c r="Q24" s="43">
        <f t="shared" ref="Q24" si="26">O24*P24</f>
        <v>0</v>
      </c>
      <c r="R24" s="43">
        <f t="shared" si="5"/>
        <v>164139.67499999999</v>
      </c>
      <c r="S24" s="42">
        <f t="shared" si="6"/>
        <v>16413.967499999999</v>
      </c>
      <c r="T24" s="42"/>
      <c r="U24" s="43">
        <f t="shared" si="15"/>
        <v>180553.64249999999</v>
      </c>
      <c r="V24" s="44">
        <f t="shared" si="7"/>
        <v>2166643.71</v>
      </c>
      <c r="W24" s="43">
        <f t="shared" si="8"/>
        <v>164139.67499999999</v>
      </c>
      <c r="X24" s="42">
        <f t="shared" si="9"/>
        <v>9749.8966949999976</v>
      </c>
      <c r="Y24" s="42">
        <f t="shared" si="10"/>
        <v>5687.4397387499994</v>
      </c>
      <c r="Z24" s="42">
        <f t="shared" si="11"/>
        <v>5416.6092749999998</v>
      </c>
      <c r="AA24" s="42">
        <f>U24*10%</f>
        <v>18055.364249999999</v>
      </c>
      <c r="AB24" s="24" t="e">
        <f t="shared" ref="AB24" si="27">#REF!</f>
        <v>#REF!</v>
      </c>
      <c r="AC24" s="24" t="e">
        <f t="shared" si="14"/>
        <v>#REF!</v>
      </c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</row>
    <row r="25" spans="1:41" x14ac:dyDescent="0.25">
      <c r="A25" s="12"/>
      <c r="B25" s="12" t="s">
        <v>153</v>
      </c>
      <c r="C25" s="41" t="s">
        <v>130</v>
      </c>
      <c r="D25" s="41" t="s">
        <v>154</v>
      </c>
      <c r="E25" s="41" t="s">
        <v>155</v>
      </c>
      <c r="F25" s="41" t="s">
        <v>154</v>
      </c>
      <c r="G25" s="12" t="s">
        <v>156</v>
      </c>
      <c r="H25" s="12" t="s">
        <v>71</v>
      </c>
      <c r="I25" s="12">
        <v>4.49</v>
      </c>
      <c r="J25" s="12"/>
      <c r="K25" s="42">
        <f t="shared" si="2"/>
        <v>158919.06</v>
      </c>
      <c r="L25" s="12">
        <v>18</v>
      </c>
      <c r="M25" s="42">
        <f>K25/18*L25</f>
        <v>158919.06</v>
      </c>
      <c r="N25" s="42">
        <f t="shared" si="4"/>
        <v>39729.764999999999</v>
      </c>
      <c r="O25" s="43">
        <f t="shared" si="18"/>
        <v>198648.82500000001</v>
      </c>
      <c r="P25" s="43">
        <v>0.3</v>
      </c>
      <c r="Q25" s="43">
        <f>O25*P25</f>
        <v>59594.647499999999</v>
      </c>
      <c r="R25" s="43">
        <f t="shared" si="5"/>
        <v>258243.4725</v>
      </c>
      <c r="S25" s="42">
        <f t="shared" si="6"/>
        <v>19864.882500000003</v>
      </c>
      <c r="T25" s="42"/>
      <c r="U25" s="43">
        <f t="shared" si="15"/>
        <v>278108.35499999998</v>
      </c>
      <c r="V25" s="44">
        <f t="shared" si="7"/>
        <v>3337300.26</v>
      </c>
      <c r="W25" s="43">
        <f t="shared" si="8"/>
        <v>198648.82500000001</v>
      </c>
      <c r="X25" s="42">
        <f t="shared" si="9"/>
        <v>15017.85117</v>
      </c>
      <c r="Y25" s="42">
        <f t="shared" si="10"/>
        <v>8760.4131825000004</v>
      </c>
      <c r="Z25" s="42">
        <f t="shared" si="11"/>
        <v>8343.25065</v>
      </c>
      <c r="AA25" s="42">
        <f>U25*10%</f>
        <v>27810.835500000001</v>
      </c>
      <c r="AB25" s="24" t="e">
        <f t="shared" ref="AB25" si="28">#REF!</f>
        <v>#REF!</v>
      </c>
      <c r="AC25" s="24" t="e">
        <f t="shared" si="14"/>
        <v>#REF!</v>
      </c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</row>
    <row r="26" spans="1:41" x14ac:dyDescent="0.25">
      <c r="A26" s="12"/>
      <c r="B26" s="46" t="s">
        <v>157</v>
      </c>
      <c r="C26" s="46"/>
      <c r="D26" s="46"/>
      <c r="E26" s="46"/>
      <c r="F26" s="46"/>
      <c r="G26" s="46"/>
      <c r="H26" s="46"/>
      <c r="I26" s="46"/>
      <c r="J26" s="46"/>
      <c r="K26" s="43"/>
      <c r="L26" s="43">
        <f>SUM(L14:L25)</f>
        <v>180</v>
      </c>
      <c r="M26" s="43">
        <f>SUM(M14:M25)</f>
        <v>1611842.7600000002</v>
      </c>
      <c r="N26" s="43">
        <f>SUM(N14:N25)</f>
        <v>402960.69000000006</v>
      </c>
      <c r="O26" s="43">
        <f>SUM(O14:O25)</f>
        <v>2014803.4500000002</v>
      </c>
      <c r="P26" s="43">
        <f>SUM(P14:P24)</f>
        <v>2.4500000000000002</v>
      </c>
      <c r="Q26" s="43">
        <f t="shared" ref="Q26:AC26" si="29">SUM(Q14:Q25)</f>
        <v>470054.44125000009</v>
      </c>
      <c r="R26" s="43">
        <f t="shared" si="29"/>
        <v>2484857.8912500003</v>
      </c>
      <c r="S26" s="43">
        <f t="shared" si="29"/>
        <v>201480.34500000003</v>
      </c>
      <c r="T26" s="43">
        <f t="shared" si="29"/>
        <v>0</v>
      </c>
      <c r="U26" s="43">
        <f t="shared" si="29"/>
        <v>2686338.2362500005</v>
      </c>
      <c r="V26" s="43">
        <f t="shared" si="29"/>
        <v>32236058.835000001</v>
      </c>
      <c r="W26" s="43">
        <f t="shared" si="29"/>
        <v>2014803.4500000002</v>
      </c>
      <c r="X26" s="43">
        <f t="shared" si="29"/>
        <v>145062.26475750003</v>
      </c>
      <c r="Y26" s="43">
        <f t="shared" si="29"/>
        <v>84619.654441874998</v>
      </c>
      <c r="Z26" s="43">
        <f t="shared" si="29"/>
        <v>80590.147087499994</v>
      </c>
      <c r="AA26" s="43">
        <f t="shared" si="29"/>
        <v>268633.82362500002</v>
      </c>
      <c r="AB26" s="43" t="e">
        <f t="shared" si="29"/>
        <v>#REF!</v>
      </c>
      <c r="AC26" s="43" t="e">
        <f t="shared" si="29"/>
        <v>#REF!</v>
      </c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</row>
    <row r="27" spans="1:41" x14ac:dyDescent="0.25">
      <c r="A27" s="12"/>
      <c r="B27" s="12"/>
      <c r="C27" s="12"/>
      <c r="D27" s="12"/>
      <c r="E27" s="4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42">
        <f>X26*12/1000</f>
        <v>1740.7471770900004</v>
      </c>
      <c r="Y27" s="42">
        <f t="shared" ref="Y27:AA27" si="30">Y26*12/1000</f>
        <v>1015.4358533024999</v>
      </c>
      <c r="Z27" s="42">
        <f t="shared" si="30"/>
        <v>967.08176504999994</v>
      </c>
      <c r="AA27" s="42">
        <f t="shared" si="30"/>
        <v>3223.6058835000003</v>
      </c>
      <c r="AB27" s="23"/>
      <c r="AC27" s="24" t="e">
        <f>[1]штат!AC9+[1]штат!AC10</f>
        <v>#REF!</v>
      </c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</row>
    <row r="28" spans="1:4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>
        <f>L26/18</f>
        <v>10</v>
      </c>
      <c r="M28" s="23"/>
      <c r="N28" s="23"/>
      <c r="O28" s="23"/>
      <c r="P28" s="23"/>
      <c r="Q28" s="23"/>
      <c r="R28" s="23"/>
      <c r="S28" s="23"/>
      <c r="T28" s="23"/>
      <c r="U28" s="24"/>
      <c r="V28" s="24"/>
      <c r="W28" s="24"/>
      <c r="X28" s="24"/>
      <c r="Y28" s="24"/>
      <c r="Z28" s="24"/>
      <c r="AA28" s="24"/>
      <c r="AB28" s="23"/>
      <c r="AC28" s="24" t="e">
        <f>SUM(AC26:AC27)</f>
        <v>#REF!</v>
      </c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</row>
    <row r="29" spans="1:4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  <c r="U29" s="24"/>
      <c r="V29" s="24"/>
      <c r="W29" s="24"/>
      <c r="X29" s="24"/>
      <c r="Y29" s="24"/>
      <c r="Z29" s="24"/>
      <c r="AA29" s="24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</row>
    <row r="30" spans="1:41" x14ac:dyDescent="0.25">
      <c r="A30" s="23"/>
      <c r="B30" s="23" t="s">
        <v>158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4"/>
      <c r="W30" s="24"/>
      <c r="X30" s="24"/>
      <c r="Y30" s="24"/>
      <c r="Z30" s="24"/>
      <c r="AA30" s="24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</row>
    <row r="32" spans="1:41" x14ac:dyDescent="0.25">
      <c r="A32" s="23"/>
      <c r="B32" s="23" t="s">
        <v>159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47"/>
      <c r="U32" s="47"/>
      <c r="V32" s="47"/>
      <c r="W32" s="47"/>
      <c r="X32" s="47"/>
      <c r="Y32" s="47"/>
      <c r="Z32" s="47"/>
      <c r="AA32" s="47"/>
      <c r="AB32" s="24" t="e">
        <f>[1]штат!#REF!</f>
        <v>#REF!</v>
      </c>
      <c r="AC32" s="24" t="e">
        <f>[1]штат!#REF!</f>
        <v>#REF!</v>
      </c>
      <c r="AD32" s="24" t="e">
        <f>[1]штат!#REF!</f>
        <v>#REF!</v>
      </c>
      <c r="AE32" s="24" t="e">
        <f>[1]штат!#REF!</f>
        <v>#REF!</v>
      </c>
      <c r="AF32" s="24" t="e">
        <f>[1]штат!#REF!</f>
        <v>#REF!</v>
      </c>
      <c r="AG32" s="24" t="e">
        <f>[1]штат!#REF!</f>
        <v>#REF!</v>
      </c>
      <c r="AH32" s="24" t="e">
        <f>[1]штат!#REF!</f>
        <v>#REF!</v>
      </c>
      <c r="AI32" s="24" t="e">
        <f>[1]штат!#REF!</f>
        <v>#REF!</v>
      </c>
      <c r="AJ32" s="23" t="e">
        <f>AB32*12</f>
        <v>#REF!</v>
      </c>
      <c r="AK32" s="23"/>
      <c r="AL32" s="23"/>
      <c r="AM32" s="23"/>
      <c r="AN32" s="23"/>
      <c r="AO32" s="23"/>
    </row>
    <row r="33" spans="1:4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3"/>
      <c r="W33" s="23"/>
      <c r="X33" s="23"/>
      <c r="Y33" s="23"/>
      <c r="Z33" s="23"/>
      <c r="AA33" s="23"/>
      <c r="AB33" s="24" t="e">
        <f t="shared" ref="AB33" si="31">#REF!</f>
        <v>#REF!</v>
      </c>
      <c r="AC33" s="24" t="e">
        <f t="shared" ref="AC33" si="32">#REF!</f>
        <v>#REF!</v>
      </c>
      <c r="AD33" s="24" t="e">
        <f t="shared" ref="AD33" si="33">#REF!</f>
        <v>#REF!</v>
      </c>
      <c r="AE33" s="24" t="e">
        <f t="shared" ref="AE33" si="34">#REF!</f>
        <v>#REF!</v>
      </c>
      <c r="AF33" s="24" t="e">
        <f t="shared" ref="AF33" si="35">#REF!</f>
        <v>#REF!</v>
      </c>
      <c r="AG33" s="24" t="e">
        <f t="shared" ref="AG33" si="36">#REF!</f>
        <v>#REF!</v>
      </c>
      <c r="AH33" s="24" t="e">
        <f t="shared" ref="AH33" si="37">#REF!</f>
        <v>#REF!</v>
      </c>
      <c r="AI33" s="24" t="e">
        <f t="shared" ref="AI33" si="38">#REF!</f>
        <v>#REF!</v>
      </c>
      <c r="AJ33" s="23" t="e">
        <f>AB33*12</f>
        <v>#REF!</v>
      </c>
      <c r="AK33" s="24" t="e">
        <f>#REF!</f>
        <v>#REF!</v>
      </c>
      <c r="AL33" s="24" t="e">
        <f>#REF!</f>
        <v>#REF!</v>
      </c>
      <c r="AM33" s="24" t="e">
        <f>#REF!</f>
        <v>#REF!</v>
      </c>
      <c r="AN33" s="24" t="e">
        <f>#REF!</f>
        <v>#REF!</v>
      </c>
      <c r="AO33" s="23"/>
    </row>
    <row r="34" spans="1:4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</row>
  </sheetData>
  <mergeCells count="4">
    <mergeCell ref="X12:X13"/>
    <mergeCell ref="Y12:Y13"/>
    <mergeCell ref="Z12:Z13"/>
    <mergeCell ref="AA12:A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E39"/>
  <sheetViews>
    <sheetView tabSelected="1" workbookViewId="0">
      <selection activeCell="H2" sqref="H2"/>
    </sheetView>
  </sheetViews>
  <sheetFormatPr defaultRowHeight="15" x14ac:dyDescent="0.25"/>
  <sheetData>
    <row r="5" spans="1:29" x14ac:dyDescent="0.25">
      <c r="A5" s="70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R5" s="70" t="s">
        <v>1</v>
      </c>
      <c r="S5" s="70"/>
      <c r="T5" s="70"/>
      <c r="U5" s="70"/>
      <c r="V5" s="70"/>
      <c r="W5" s="70"/>
      <c r="X5" s="70"/>
      <c r="Y5" s="70"/>
    </row>
    <row r="6" spans="1:29" x14ac:dyDescent="0.25">
      <c r="A6" s="70" t="s">
        <v>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R6" s="70" t="s">
        <v>3</v>
      </c>
      <c r="S6" s="70"/>
      <c r="T6" s="70"/>
      <c r="U6" s="70"/>
      <c r="V6" s="70"/>
      <c r="W6" s="70"/>
      <c r="X6" s="70"/>
      <c r="Y6" s="70"/>
    </row>
    <row r="7" spans="1:29" x14ac:dyDescent="0.25">
      <c r="A7" s="70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R7" s="70" t="s">
        <v>5</v>
      </c>
      <c r="S7" s="70"/>
      <c r="T7" s="70"/>
      <c r="U7" s="70"/>
      <c r="V7" s="70"/>
      <c r="W7" s="70"/>
      <c r="X7" s="70"/>
      <c r="Y7" s="70"/>
    </row>
    <row r="8" spans="1:29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R8" s="70"/>
      <c r="S8" s="70"/>
      <c r="T8" s="70"/>
      <c r="U8" s="70"/>
      <c r="V8" s="70"/>
      <c r="W8" s="70"/>
      <c r="X8" s="70"/>
      <c r="Y8" s="70"/>
    </row>
    <row r="9" spans="1:29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29" x14ac:dyDescent="0.25">
      <c r="A10" s="70" t="s">
        <v>101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29" x14ac:dyDescent="0.25">
      <c r="A11" s="70"/>
      <c r="B11" s="70"/>
      <c r="C11" s="70"/>
      <c r="D11" s="25" t="s">
        <v>160</v>
      </c>
      <c r="E11" s="70"/>
      <c r="F11" s="70"/>
      <c r="G11" s="70"/>
      <c r="H11" s="70"/>
      <c r="I11" s="70"/>
      <c r="J11" s="70"/>
      <c r="K11" s="70"/>
      <c r="L11" s="70"/>
      <c r="M11" s="70"/>
    </row>
    <row r="12" spans="1:29" x14ac:dyDescent="0.25">
      <c r="O12">
        <v>17697</v>
      </c>
      <c r="P12">
        <v>2405</v>
      </c>
      <c r="R12">
        <v>3450</v>
      </c>
      <c r="S12">
        <f>R12*1.25</f>
        <v>4312.5</v>
      </c>
      <c r="V12">
        <f>O12*1.45</f>
        <v>25660.649999999998</v>
      </c>
      <c r="W12">
        <f>O12*2</f>
        <v>35394</v>
      </c>
    </row>
    <row r="13" spans="1:29" ht="45" x14ac:dyDescent="0.25">
      <c r="A13" s="71" t="s">
        <v>8</v>
      </c>
      <c r="B13" s="71"/>
      <c r="C13" s="71" t="s">
        <v>105</v>
      </c>
      <c r="D13" s="71" t="s">
        <v>106</v>
      </c>
      <c r="E13" s="72" t="s">
        <v>107</v>
      </c>
      <c r="F13" s="72" t="s">
        <v>112</v>
      </c>
      <c r="G13" s="73" t="s">
        <v>161</v>
      </c>
      <c r="H13" s="73" t="s">
        <v>111</v>
      </c>
      <c r="I13" s="73"/>
      <c r="J13" s="73" t="s">
        <v>112</v>
      </c>
      <c r="K13" s="74" t="s">
        <v>162</v>
      </c>
      <c r="L13" s="73" t="s">
        <v>112</v>
      </c>
      <c r="M13" s="75">
        <v>0.25</v>
      </c>
      <c r="N13" s="75"/>
      <c r="O13" s="75" t="s">
        <v>114</v>
      </c>
      <c r="P13" s="73" t="s">
        <v>163</v>
      </c>
      <c r="Q13" s="76" t="s">
        <v>164</v>
      </c>
      <c r="R13" s="73"/>
      <c r="S13" s="73"/>
      <c r="T13" s="75" t="s">
        <v>165</v>
      </c>
      <c r="U13" s="73" t="s">
        <v>115</v>
      </c>
      <c r="V13" s="77" t="s">
        <v>116</v>
      </c>
      <c r="W13" s="71" t="s">
        <v>117</v>
      </c>
      <c r="X13" s="71" t="s">
        <v>118</v>
      </c>
      <c r="Y13" s="76" t="s">
        <v>119</v>
      </c>
      <c r="Z13" s="76" t="s">
        <v>120</v>
      </c>
      <c r="AA13" s="76" t="s">
        <v>121</v>
      </c>
      <c r="AB13" s="78">
        <v>0.1</v>
      </c>
      <c r="AC13" s="79" t="s">
        <v>166</v>
      </c>
    </row>
    <row r="14" spans="1:29" ht="45" x14ac:dyDescent="0.25">
      <c r="A14" s="80"/>
      <c r="B14" s="80" t="s">
        <v>167</v>
      </c>
      <c r="C14" s="80"/>
      <c r="D14" s="80"/>
      <c r="E14" s="81" t="s">
        <v>123</v>
      </c>
      <c r="F14" s="81" t="s">
        <v>124</v>
      </c>
      <c r="G14" s="80"/>
      <c r="H14" s="80"/>
      <c r="I14" s="80"/>
      <c r="J14" s="80" t="s">
        <v>125</v>
      </c>
      <c r="K14" s="82"/>
      <c r="L14" s="83" t="s">
        <v>168</v>
      </c>
      <c r="M14" s="83" t="s">
        <v>127</v>
      </c>
      <c r="N14" s="83" t="s">
        <v>128</v>
      </c>
      <c r="O14" s="83"/>
      <c r="P14" s="84">
        <v>0.3</v>
      </c>
      <c r="Q14" s="85"/>
      <c r="R14" s="84" t="s">
        <v>169</v>
      </c>
      <c r="S14" s="84" t="s">
        <v>170</v>
      </c>
      <c r="T14" s="83" t="s">
        <v>171</v>
      </c>
      <c r="U14" s="80"/>
      <c r="V14" s="86"/>
      <c r="W14" s="80" t="s">
        <v>129</v>
      </c>
      <c r="X14" s="80"/>
      <c r="Y14" s="85"/>
      <c r="Z14" s="85"/>
      <c r="AA14" s="85"/>
      <c r="AB14" s="87"/>
      <c r="AC14" s="79"/>
    </row>
    <row r="15" spans="1:29" x14ac:dyDescent="0.25">
      <c r="A15" s="88">
        <v>1</v>
      </c>
      <c r="B15" s="89" t="s">
        <v>47</v>
      </c>
      <c r="C15" s="89" t="s">
        <v>172</v>
      </c>
      <c r="D15" s="89" t="s">
        <v>49</v>
      </c>
      <c r="E15" s="89" t="s">
        <v>130</v>
      </c>
      <c r="F15" s="89" t="s">
        <v>173</v>
      </c>
      <c r="G15" s="89" t="s">
        <v>174</v>
      </c>
      <c r="H15" s="88">
        <v>6.05</v>
      </c>
      <c r="I15" s="88">
        <f>H15*17697</f>
        <v>107066.84999999999</v>
      </c>
      <c r="J15" s="90">
        <f>I15*2</f>
        <v>214133.69999999998</v>
      </c>
      <c r="K15" s="88">
        <v>1</v>
      </c>
      <c r="L15" s="90">
        <f>J15*K15</f>
        <v>214133.69999999998</v>
      </c>
      <c r="M15" s="90">
        <f>L15*25%</f>
        <v>53533.424999999996</v>
      </c>
      <c r="N15" s="91">
        <f>L15+M15</f>
        <v>267667.125</v>
      </c>
      <c r="O15" s="92">
        <f>N15*10%</f>
        <v>26766.712500000001</v>
      </c>
      <c r="P15" s="90">
        <v>0</v>
      </c>
      <c r="Q15" s="90"/>
      <c r="R15" s="90"/>
      <c r="S15" s="90"/>
      <c r="T15" s="91">
        <f>O15+P15+R15+S15+Q15</f>
        <v>26766.712500000001</v>
      </c>
      <c r="U15" s="88">
        <v>4313</v>
      </c>
      <c r="V15" s="91">
        <f>N15+T15+U15+Q15</f>
        <v>298746.83750000002</v>
      </c>
      <c r="W15" s="93">
        <f>V15*12</f>
        <v>3584962.0500000003</v>
      </c>
      <c r="X15" s="91">
        <f>N15</f>
        <v>267667.125</v>
      </c>
      <c r="Y15" s="90">
        <f>(V15-U15-AB15)*6%</f>
        <v>15873.549224999999</v>
      </c>
      <c r="Z15" s="90">
        <f>(V15-AB15-U15)*3.5%</f>
        <v>9259.5703812500014</v>
      </c>
      <c r="AA15" s="90">
        <f>(V15)*3%</f>
        <v>8962.4051250000011</v>
      </c>
      <c r="AB15" s="90">
        <f>V15*10%</f>
        <v>29874.683750000004</v>
      </c>
      <c r="AC15" s="90"/>
    </row>
    <row r="16" spans="1:29" x14ac:dyDescent="0.25">
      <c r="A16" s="88">
        <v>2</v>
      </c>
      <c r="B16" s="89" t="s">
        <v>53</v>
      </c>
      <c r="C16" s="89" t="s">
        <v>175</v>
      </c>
      <c r="D16" s="89" t="s">
        <v>49</v>
      </c>
      <c r="E16" s="89" t="s">
        <v>130</v>
      </c>
      <c r="F16" s="89" t="s">
        <v>176</v>
      </c>
      <c r="G16" s="94" t="s">
        <v>177</v>
      </c>
      <c r="H16" s="88">
        <v>5.74</v>
      </c>
      <c r="I16" s="88">
        <f t="shared" ref="I16:I28" si="0">H16*17697</f>
        <v>101580.78</v>
      </c>
      <c r="J16" s="90">
        <f>I16*2</f>
        <v>203161.56</v>
      </c>
      <c r="K16" s="88">
        <v>1</v>
      </c>
      <c r="L16" s="90">
        <f t="shared" ref="L16:L25" si="1">J16*K16</f>
        <v>203161.56</v>
      </c>
      <c r="M16" s="90">
        <f>L16*25%</f>
        <v>50790.39</v>
      </c>
      <c r="N16" s="91">
        <f>L16+M16</f>
        <v>253951.95</v>
      </c>
      <c r="O16" s="92">
        <f t="shared" ref="O16:O19" si="2">N16*10%</f>
        <v>25395.195000000003</v>
      </c>
      <c r="P16" s="90"/>
      <c r="Q16" s="90">
        <f>N16*30%</f>
        <v>76185.585000000006</v>
      </c>
      <c r="R16" s="90"/>
      <c r="S16" s="90"/>
      <c r="T16" s="91">
        <f t="shared" ref="T16:T26" si="3">O16+P16+R16+S16+Q16</f>
        <v>101580.78000000001</v>
      </c>
      <c r="U16" s="88">
        <v>4313</v>
      </c>
      <c r="V16" s="91">
        <f t="shared" ref="V16:V26" si="4">N16+T16+U16+Q16</f>
        <v>436031.31500000006</v>
      </c>
      <c r="W16" s="93">
        <f t="shared" ref="W16:W26" si="5">V16*12</f>
        <v>5232375.7800000012</v>
      </c>
      <c r="X16" s="91">
        <f t="shared" ref="X16:X25" si="6">N16</f>
        <v>253951.95</v>
      </c>
      <c r="Y16" s="90">
        <f t="shared" ref="Y16:Y22" si="7">(V16-U16-AB16)*6%</f>
        <v>23286.911010000003</v>
      </c>
      <c r="Z16" s="90">
        <f t="shared" ref="Z16:Z24" si="8">(V16-AB16-U16)*3.5%</f>
        <v>13584.031422500002</v>
      </c>
      <c r="AA16" s="90">
        <f t="shared" ref="AA16:AA26" si="9">(V16)*3%</f>
        <v>13080.939450000002</v>
      </c>
      <c r="AB16" s="90">
        <f t="shared" ref="AB16:AB27" si="10">V16*10%</f>
        <v>43603.13150000001</v>
      </c>
      <c r="AC16" s="90"/>
    </row>
    <row r="17" spans="1:31" x14ac:dyDescent="0.25">
      <c r="A17" s="88">
        <v>3</v>
      </c>
      <c r="B17" s="89" t="s">
        <v>178</v>
      </c>
      <c r="C17" s="89" t="s">
        <v>179</v>
      </c>
      <c r="D17" s="89" t="s">
        <v>49</v>
      </c>
      <c r="E17" s="89" t="s">
        <v>180</v>
      </c>
      <c r="F17" s="95" t="s">
        <v>181</v>
      </c>
      <c r="G17" s="89" t="s">
        <v>182</v>
      </c>
      <c r="H17" s="88">
        <v>5.77</v>
      </c>
      <c r="I17" s="88">
        <f t="shared" si="0"/>
        <v>102111.68999999999</v>
      </c>
      <c r="J17" s="90">
        <f>I17*1.45</f>
        <v>148061.95049999998</v>
      </c>
      <c r="K17" s="88">
        <v>1</v>
      </c>
      <c r="L17" s="90">
        <f t="shared" si="1"/>
        <v>148061.95049999998</v>
      </c>
      <c r="M17" s="90">
        <f t="shared" ref="M17:M20" si="11">L17*25%</f>
        <v>37015.487624999994</v>
      </c>
      <c r="N17" s="91">
        <f t="shared" ref="N17:N24" si="12">L17+M17</f>
        <v>185077.43812499999</v>
      </c>
      <c r="O17" s="92">
        <f t="shared" si="2"/>
        <v>18507.743812500001</v>
      </c>
      <c r="P17" s="90"/>
      <c r="Q17" s="90"/>
      <c r="R17" s="90"/>
      <c r="S17" s="90"/>
      <c r="T17" s="91">
        <f t="shared" si="3"/>
        <v>18507.743812500001</v>
      </c>
      <c r="U17" s="88">
        <v>4313</v>
      </c>
      <c r="V17" s="91">
        <f t="shared" si="4"/>
        <v>207898.18193749999</v>
      </c>
      <c r="W17" s="93">
        <f t="shared" si="5"/>
        <v>2494778.1832499998</v>
      </c>
      <c r="X17" s="91">
        <f t="shared" si="6"/>
        <v>185077.43812499999</v>
      </c>
      <c r="Y17" s="90">
        <f t="shared" si="7"/>
        <v>10967.721824624999</v>
      </c>
      <c r="Z17" s="90">
        <f t="shared" si="8"/>
        <v>6397.8377310312508</v>
      </c>
      <c r="AA17" s="90">
        <f t="shared" si="9"/>
        <v>6236.9454581249993</v>
      </c>
      <c r="AB17" s="90">
        <f t="shared" si="10"/>
        <v>20789.818193750001</v>
      </c>
      <c r="AC17" s="90">
        <f t="shared" ref="AC17:AC27" si="13">L17-I17</f>
        <v>45950.260499999989</v>
      </c>
    </row>
    <row r="18" spans="1:31" x14ac:dyDescent="0.25">
      <c r="A18" s="88"/>
      <c r="B18" s="89" t="s">
        <v>178</v>
      </c>
      <c r="C18" s="89" t="s">
        <v>183</v>
      </c>
      <c r="D18" s="89" t="s">
        <v>49</v>
      </c>
      <c r="E18" s="89" t="s">
        <v>180</v>
      </c>
      <c r="F18" s="95" t="s">
        <v>181</v>
      </c>
      <c r="G18" s="89" t="s">
        <v>184</v>
      </c>
      <c r="H18" s="88">
        <v>4.83</v>
      </c>
      <c r="I18" s="88">
        <f t="shared" si="0"/>
        <v>85476.51</v>
      </c>
      <c r="J18" s="90">
        <f>I18*1.45</f>
        <v>123940.93949999999</v>
      </c>
      <c r="K18" s="88">
        <v>0.5</v>
      </c>
      <c r="L18" s="90">
        <f>J18*K18</f>
        <v>61970.469749999997</v>
      </c>
      <c r="M18" s="90">
        <f t="shared" si="11"/>
        <v>15492.617437499999</v>
      </c>
      <c r="N18" s="91">
        <f t="shared" si="12"/>
        <v>77463.087187500001</v>
      </c>
      <c r="O18" s="92">
        <f t="shared" si="2"/>
        <v>7746.3087187500005</v>
      </c>
      <c r="P18" s="90"/>
      <c r="Q18" s="90"/>
      <c r="R18" s="90"/>
      <c r="S18" s="90"/>
      <c r="T18" s="91">
        <f t="shared" si="3"/>
        <v>7746.3087187500005</v>
      </c>
      <c r="U18" s="88"/>
      <c r="V18" s="91">
        <f t="shared" si="4"/>
        <v>85209.395906250007</v>
      </c>
      <c r="W18" s="93">
        <f t="shared" si="5"/>
        <v>1022512.7508750001</v>
      </c>
      <c r="X18" s="91">
        <f t="shared" si="6"/>
        <v>77463.087187500001</v>
      </c>
      <c r="Y18" s="90">
        <f t="shared" si="7"/>
        <v>4601.3073789375003</v>
      </c>
      <c r="Z18" s="90">
        <f t="shared" si="8"/>
        <v>2684.0959710468755</v>
      </c>
      <c r="AA18" s="90">
        <f t="shared" si="9"/>
        <v>2556.2818771875</v>
      </c>
      <c r="AB18" s="90">
        <f t="shared" si="10"/>
        <v>8520.9395906250011</v>
      </c>
      <c r="AC18" s="90">
        <f t="shared" si="13"/>
        <v>-23506.040249999998</v>
      </c>
    </row>
    <row r="19" spans="1:31" x14ac:dyDescent="0.25">
      <c r="A19" s="88">
        <v>4</v>
      </c>
      <c r="B19" s="89" t="s">
        <v>185</v>
      </c>
      <c r="C19" s="89" t="s">
        <v>186</v>
      </c>
      <c r="D19" s="89" t="s">
        <v>49</v>
      </c>
      <c r="E19" s="89" t="s">
        <v>180</v>
      </c>
      <c r="F19" s="89" t="s">
        <v>187</v>
      </c>
      <c r="G19" s="89" t="s">
        <v>188</v>
      </c>
      <c r="H19" s="88">
        <v>3.16</v>
      </c>
      <c r="I19" s="88">
        <f>(H19*17697)</f>
        <v>55922.520000000004</v>
      </c>
      <c r="J19" s="90">
        <f>I19*1.45</f>
        <v>81087.65400000001</v>
      </c>
      <c r="K19" s="88">
        <v>1</v>
      </c>
      <c r="L19" s="90">
        <f>J19</f>
        <v>81087.65400000001</v>
      </c>
      <c r="M19" s="90"/>
      <c r="N19" s="91">
        <f t="shared" si="12"/>
        <v>81087.65400000001</v>
      </c>
      <c r="O19" s="92">
        <f t="shared" si="2"/>
        <v>8108.7654000000011</v>
      </c>
      <c r="P19" s="90"/>
      <c r="Q19" s="90"/>
      <c r="R19" s="90"/>
      <c r="S19" s="90"/>
      <c r="T19" s="91">
        <f t="shared" si="3"/>
        <v>8108.7654000000011</v>
      </c>
      <c r="U19" s="88">
        <v>4313</v>
      </c>
      <c r="V19" s="91">
        <f t="shared" si="4"/>
        <v>93509.419400000013</v>
      </c>
      <c r="W19" s="93">
        <f t="shared" si="5"/>
        <v>1122113.0328000002</v>
      </c>
      <c r="X19" s="91">
        <f t="shared" si="6"/>
        <v>81087.65400000001</v>
      </c>
      <c r="Y19" s="90">
        <f t="shared" si="7"/>
        <v>4790.7286475999999</v>
      </c>
      <c r="Z19" s="90">
        <f t="shared" si="8"/>
        <v>2794.5917111000008</v>
      </c>
      <c r="AA19" s="90">
        <f t="shared" si="9"/>
        <v>2805.2825820000003</v>
      </c>
      <c r="AB19" s="90">
        <f t="shared" si="10"/>
        <v>9350.9419400000024</v>
      </c>
      <c r="AC19" s="90">
        <f t="shared" si="13"/>
        <v>25165.134000000005</v>
      </c>
    </row>
    <row r="20" spans="1:31" x14ac:dyDescent="0.25">
      <c r="A20" s="88">
        <v>5</v>
      </c>
      <c r="B20" s="89" t="s">
        <v>189</v>
      </c>
      <c r="C20" s="89" t="s">
        <v>190</v>
      </c>
      <c r="D20" s="89" t="s">
        <v>49</v>
      </c>
      <c r="E20" s="89" t="s">
        <v>180</v>
      </c>
      <c r="F20" s="89" t="s">
        <v>191</v>
      </c>
      <c r="G20" s="89" t="s">
        <v>192</v>
      </c>
      <c r="H20" s="88">
        <v>3.43</v>
      </c>
      <c r="I20" s="88">
        <f>H20*17697</f>
        <v>60700.710000000006</v>
      </c>
      <c r="J20" s="90">
        <f>I20*1.45</f>
        <v>88016.029500000004</v>
      </c>
      <c r="K20" s="88">
        <v>1</v>
      </c>
      <c r="L20" s="90">
        <f t="shared" si="1"/>
        <v>88016.029500000004</v>
      </c>
      <c r="M20" s="90">
        <f t="shared" si="11"/>
        <v>22004.007375000001</v>
      </c>
      <c r="N20" s="91">
        <f t="shared" si="12"/>
        <v>110020.03687500001</v>
      </c>
      <c r="O20" s="92">
        <f>N20*10%</f>
        <v>11002.003687500001</v>
      </c>
      <c r="P20" s="90"/>
      <c r="Q20" s="90"/>
      <c r="R20" s="90"/>
      <c r="S20" s="90"/>
      <c r="T20" s="91">
        <f t="shared" si="3"/>
        <v>11002.003687500001</v>
      </c>
      <c r="U20" s="88">
        <v>4313</v>
      </c>
      <c r="V20" s="91">
        <f t="shared" si="4"/>
        <v>125335.04056250001</v>
      </c>
      <c r="W20" s="93">
        <f t="shared" si="5"/>
        <v>1504020.4867500002</v>
      </c>
      <c r="X20" s="91">
        <f t="shared" si="6"/>
        <v>110020.03687500001</v>
      </c>
      <c r="Y20" s="90">
        <f t="shared" si="7"/>
        <v>6509.3121903749998</v>
      </c>
      <c r="Z20" s="90">
        <f t="shared" si="8"/>
        <v>3797.0987777187506</v>
      </c>
      <c r="AA20" s="90">
        <f t="shared" si="9"/>
        <v>3760.0512168750001</v>
      </c>
      <c r="AB20" s="90">
        <f t="shared" si="10"/>
        <v>12533.504056250002</v>
      </c>
      <c r="AC20" s="90">
        <f t="shared" si="13"/>
        <v>27315.319499999998</v>
      </c>
    </row>
    <row r="21" spans="1:31" x14ac:dyDescent="0.25">
      <c r="A21" s="88">
        <v>6</v>
      </c>
      <c r="B21" s="89" t="s">
        <v>193</v>
      </c>
      <c r="C21" s="89" t="s">
        <v>194</v>
      </c>
      <c r="D21" s="89"/>
      <c r="E21" s="88"/>
      <c r="F21" s="89" t="s">
        <v>195</v>
      </c>
      <c r="G21" s="89" t="s">
        <v>192</v>
      </c>
      <c r="H21" s="88">
        <v>2.81</v>
      </c>
      <c r="I21" s="88">
        <f t="shared" si="0"/>
        <v>49728.57</v>
      </c>
      <c r="J21" s="90">
        <f t="shared" ref="J21:J25" si="14">I21*1.45</f>
        <v>72106.426500000001</v>
      </c>
      <c r="K21" s="88">
        <v>1</v>
      </c>
      <c r="L21" s="90">
        <f t="shared" si="1"/>
        <v>72106.426500000001</v>
      </c>
      <c r="M21" s="90"/>
      <c r="N21" s="91">
        <f t="shared" si="12"/>
        <v>72106.426500000001</v>
      </c>
      <c r="O21" s="92">
        <f t="shared" ref="O21:O25" si="15">N21*10%</f>
        <v>7210.6426500000007</v>
      </c>
      <c r="P21" s="90"/>
      <c r="Q21" s="90"/>
      <c r="R21" s="90"/>
      <c r="S21" s="90"/>
      <c r="T21" s="91">
        <f t="shared" si="3"/>
        <v>7210.6426500000007</v>
      </c>
      <c r="U21" s="88">
        <v>4313</v>
      </c>
      <c r="V21" s="91">
        <f t="shared" si="4"/>
        <v>83630.069149999996</v>
      </c>
      <c r="W21" s="93">
        <f t="shared" si="5"/>
        <v>1003560.8297999999</v>
      </c>
      <c r="X21" s="91">
        <f t="shared" si="6"/>
        <v>72106.426500000001</v>
      </c>
      <c r="Y21" s="90">
        <f t="shared" si="7"/>
        <v>4257.2437340999995</v>
      </c>
      <c r="Z21" s="90">
        <f t="shared" si="8"/>
        <v>2483.392178225</v>
      </c>
      <c r="AA21" s="90">
        <f t="shared" si="9"/>
        <v>2508.9020744999998</v>
      </c>
      <c r="AB21" s="90">
        <f t="shared" si="10"/>
        <v>8363.0069149999999</v>
      </c>
      <c r="AC21" s="90">
        <f t="shared" si="13"/>
        <v>22377.856500000002</v>
      </c>
    </row>
    <row r="22" spans="1:31" x14ac:dyDescent="0.25">
      <c r="A22" s="88">
        <v>7</v>
      </c>
      <c r="B22" s="89" t="s">
        <v>196</v>
      </c>
      <c r="C22" s="89" t="s">
        <v>197</v>
      </c>
      <c r="D22" s="89"/>
      <c r="E22" s="88"/>
      <c r="F22" s="89" t="s">
        <v>198</v>
      </c>
      <c r="G22" s="89" t="s">
        <v>192</v>
      </c>
      <c r="H22" s="88">
        <v>3.35</v>
      </c>
      <c r="I22" s="88">
        <f t="shared" si="0"/>
        <v>59284.950000000004</v>
      </c>
      <c r="J22" s="90">
        <f t="shared" si="14"/>
        <v>85963.177500000005</v>
      </c>
      <c r="K22" s="88">
        <v>1</v>
      </c>
      <c r="L22" s="90">
        <f t="shared" si="1"/>
        <v>85963.177500000005</v>
      </c>
      <c r="M22" s="90"/>
      <c r="N22" s="91">
        <f t="shared" si="12"/>
        <v>85963.177500000005</v>
      </c>
      <c r="O22" s="92">
        <f t="shared" si="15"/>
        <v>8596.3177500000002</v>
      </c>
      <c r="P22" s="90"/>
      <c r="Q22" s="90"/>
      <c r="R22" s="90"/>
      <c r="S22" s="90"/>
      <c r="T22" s="91">
        <f t="shared" si="3"/>
        <v>8596.3177500000002</v>
      </c>
      <c r="U22" s="88">
        <v>4313</v>
      </c>
      <c r="V22" s="91">
        <f t="shared" si="4"/>
        <v>98872.495250000007</v>
      </c>
      <c r="W22" s="93">
        <f t="shared" si="5"/>
        <v>1186469.943</v>
      </c>
      <c r="X22" s="91">
        <f t="shared" si="6"/>
        <v>85963.177500000005</v>
      </c>
      <c r="Y22" s="90">
        <f t="shared" si="7"/>
        <v>5080.3347434999996</v>
      </c>
      <c r="Z22" s="90">
        <f t="shared" si="8"/>
        <v>2963.5286003750002</v>
      </c>
      <c r="AA22" s="90">
        <f t="shared" si="9"/>
        <v>2966.1748575000001</v>
      </c>
      <c r="AB22" s="90">
        <f t="shared" si="10"/>
        <v>9887.2495250000011</v>
      </c>
      <c r="AC22" s="90">
        <f t="shared" si="13"/>
        <v>26678.227500000001</v>
      </c>
    </row>
    <row r="23" spans="1:31" x14ac:dyDescent="0.25">
      <c r="A23" s="88">
        <v>8</v>
      </c>
      <c r="B23" s="89" t="s">
        <v>199</v>
      </c>
      <c r="C23" s="89" t="s">
        <v>200</v>
      </c>
      <c r="D23" s="89"/>
      <c r="E23" s="88"/>
      <c r="F23" s="89" t="s">
        <v>201</v>
      </c>
      <c r="G23" s="89" t="s">
        <v>192</v>
      </c>
      <c r="H23" s="88">
        <v>2.81</v>
      </c>
      <c r="I23" s="88">
        <f>(H23*17697)*1</f>
        <v>49728.57</v>
      </c>
      <c r="J23" s="90">
        <f t="shared" si="14"/>
        <v>72106.426500000001</v>
      </c>
      <c r="K23" s="88">
        <v>1</v>
      </c>
      <c r="L23" s="90">
        <f t="shared" si="1"/>
        <v>72106.426500000001</v>
      </c>
      <c r="M23" s="90"/>
      <c r="N23" s="91">
        <f t="shared" si="12"/>
        <v>72106.426500000001</v>
      </c>
      <c r="O23" s="92">
        <f t="shared" si="15"/>
        <v>7210.6426500000007</v>
      </c>
      <c r="P23" s="90">
        <f>O12*30%</f>
        <v>5309.0999999999995</v>
      </c>
      <c r="Q23" s="90"/>
      <c r="R23" s="90"/>
      <c r="S23" s="90"/>
      <c r="T23" s="91">
        <f t="shared" si="3"/>
        <v>12519.74265</v>
      </c>
      <c r="U23" s="88">
        <v>4313</v>
      </c>
      <c r="V23" s="91">
        <f t="shared" si="4"/>
        <v>88939.169150000002</v>
      </c>
      <c r="W23" s="93">
        <f t="shared" si="5"/>
        <v>1067270.0298000001</v>
      </c>
      <c r="X23" s="91">
        <f t="shared" si="6"/>
        <v>72106.426500000001</v>
      </c>
      <c r="Y23" s="90">
        <f>(V23-U23-AB23)*11%</f>
        <v>8330.5477458500009</v>
      </c>
      <c r="Z23" s="90">
        <f t="shared" si="8"/>
        <v>2650.6288282250007</v>
      </c>
      <c r="AA23" s="90">
        <f t="shared" si="9"/>
        <v>2668.1750744999999</v>
      </c>
      <c r="AB23" s="90">
        <f t="shared" si="10"/>
        <v>8893.9169149999998</v>
      </c>
      <c r="AC23" s="90">
        <f t="shared" si="13"/>
        <v>22377.856500000002</v>
      </c>
    </row>
    <row r="24" spans="1:31" x14ac:dyDescent="0.25">
      <c r="A24" s="88">
        <v>9</v>
      </c>
      <c r="B24" s="89" t="s">
        <v>202</v>
      </c>
      <c r="C24" s="89" t="s">
        <v>200</v>
      </c>
      <c r="D24" s="89"/>
      <c r="E24" s="88"/>
      <c r="F24" s="89"/>
      <c r="G24" s="89" t="s">
        <v>192</v>
      </c>
      <c r="H24" s="88">
        <v>2.81</v>
      </c>
      <c r="I24" s="88">
        <f>(H24*17697)*1</f>
        <v>49728.57</v>
      </c>
      <c r="J24" s="90">
        <f t="shared" si="14"/>
        <v>72106.426500000001</v>
      </c>
      <c r="K24" s="88">
        <v>1</v>
      </c>
      <c r="L24" s="90">
        <f t="shared" si="1"/>
        <v>72106.426500000001</v>
      </c>
      <c r="M24" s="90"/>
      <c r="N24" s="91">
        <f t="shared" si="12"/>
        <v>72106.426500000001</v>
      </c>
      <c r="O24" s="92">
        <f t="shared" si="15"/>
        <v>7210.6426500000007</v>
      </c>
      <c r="P24" s="90">
        <f>O12*30%</f>
        <v>5309.0999999999995</v>
      </c>
      <c r="Q24" s="90"/>
      <c r="R24" s="90"/>
      <c r="S24" s="90"/>
      <c r="T24" s="91">
        <f t="shared" si="3"/>
        <v>12519.74265</v>
      </c>
      <c r="U24" s="88">
        <v>4313</v>
      </c>
      <c r="V24" s="91">
        <f t="shared" si="4"/>
        <v>88939.169150000002</v>
      </c>
      <c r="W24" s="93">
        <f t="shared" si="5"/>
        <v>1067270.0298000001</v>
      </c>
      <c r="X24" s="91">
        <f t="shared" si="6"/>
        <v>72106.426500000001</v>
      </c>
      <c r="Y24" s="90">
        <f>(V24-U24-AB24)*11%</f>
        <v>8330.5477458500009</v>
      </c>
      <c r="Z24" s="90">
        <f t="shared" si="8"/>
        <v>2650.6288282250007</v>
      </c>
      <c r="AA24" s="90">
        <f t="shared" si="9"/>
        <v>2668.1750744999999</v>
      </c>
      <c r="AB24" s="90">
        <f t="shared" si="10"/>
        <v>8893.9169149999998</v>
      </c>
      <c r="AC24" s="90">
        <f t="shared" si="13"/>
        <v>22377.856500000002</v>
      </c>
    </row>
    <row r="25" spans="1:31" x14ac:dyDescent="0.25">
      <c r="A25" s="88">
        <v>10</v>
      </c>
      <c r="B25" s="89" t="s">
        <v>203</v>
      </c>
      <c r="C25" s="89" t="s">
        <v>204</v>
      </c>
      <c r="D25" s="89"/>
      <c r="E25" s="88"/>
      <c r="F25" s="89" t="s">
        <v>198</v>
      </c>
      <c r="G25" s="89" t="s">
        <v>192</v>
      </c>
      <c r="H25" s="88">
        <v>2.81</v>
      </c>
      <c r="I25" s="88">
        <f t="shared" si="0"/>
        <v>49728.57</v>
      </c>
      <c r="J25" s="90">
        <f t="shared" si="14"/>
        <v>72106.426500000001</v>
      </c>
      <c r="K25" s="88">
        <v>1</v>
      </c>
      <c r="L25" s="90">
        <f t="shared" si="1"/>
        <v>72106.426500000001</v>
      </c>
      <c r="M25" s="90"/>
      <c r="N25" s="91">
        <f>L25+M25</f>
        <v>72106.426500000001</v>
      </c>
      <c r="O25" s="92">
        <f t="shared" si="15"/>
        <v>7210.6426500000007</v>
      </c>
      <c r="P25" s="90"/>
      <c r="Q25" s="90"/>
      <c r="R25" s="90"/>
      <c r="S25" s="90"/>
      <c r="T25" s="91">
        <f t="shared" si="3"/>
        <v>7210.6426500000007</v>
      </c>
      <c r="U25" s="88">
        <v>4313</v>
      </c>
      <c r="V25" s="91">
        <f t="shared" si="4"/>
        <v>83630.069149999996</v>
      </c>
      <c r="W25" s="93">
        <f t="shared" si="5"/>
        <v>1003560.8297999999</v>
      </c>
      <c r="X25" s="91">
        <f t="shared" si="6"/>
        <v>72106.426500000001</v>
      </c>
      <c r="Y25" s="90">
        <f>(V25-U25-AB25)*6%</f>
        <v>4257.2437340999995</v>
      </c>
      <c r="Z25" s="90">
        <f>(V25-AB25-U25)*3.5%</f>
        <v>2483.392178225</v>
      </c>
      <c r="AA25" s="90">
        <f t="shared" si="9"/>
        <v>2508.9020744999998</v>
      </c>
      <c r="AB25" s="90">
        <f t="shared" si="10"/>
        <v>8363.0069149999999</v>
      </c>
      <c r="AC25" s="90">
        <f t="shared" si="13"/>
        <v>22377.856500000002</v>
      </c>
    </row>
    <row r="26" spans="1:31" x14ac:dyDescent="0.25">
      <c r="A26" s="88">
        <v>11</v>
      </c>
      <c r="B26" s="89" t="s">
        <v>193</v>
      </c>
      <c r="C26" s="89" t="s">
        <v>205</v>
      </c>
      <c r="D26" s="88"/>
      <c r="E26" s="88"/>
      <c r="F26" s="88"/>
      <c r="G26" s="89" t="s">
        <v>192</v>
      </c>
      <c r="H26" s="88">
        <v>2.81</v>
      </c>
      <c r="I26" s="88">
        <f>H26*17697</f>
        <v>49728.57</v>
      </c>
      <c r="J26" s="90">
        <f>H26*25661</f>
        <v>72107.41</v>
      </c>
      <c r="K26" s="88">
        <v>0.5</v>
      </c>
      <c r="L26" s="90">
        <f>J26*K26</f>
        <v>36053.705000000002</v>
      </c>
      <c r="M26" s="90">
        <v>0</v>
      </c>
      <c r="N26" s="91">
        <f>L26+M26</f>
        <v>36053.705000000002</v>
      </c>
      <c r="O26" s="92">
        <f>N26*10%</f>
        <v>3605.3705000000004</v>
      </c>
      <c r="P26" s="88"/>
      <c r="Q26" s="88"/>
      <c r="R26" s="90"/>
      <c r="S26" s="90"/>
      <c r="T26" s="91">
        <f t="shared" si="3"/>
        <v>3605.3705000000004</v>
      </c>
      <c r="U26" s="88"/>
      <c r="V26" s="91">
        <f t="shared" si="4"/>
        <v>39659.075499999999</v>
      </c>
      <c r="W26" s="93">
        <f t="shared" si="5"/>
        <v>475908.90599999996</v>
      </c>
      <c r="X26" s="91"/>
      <c r="Y26" s="90">
        <f>(V26-U26-AB26)*6%</f>
        <v>2141.5900770000003</v>
      </c>
      <c r="Z26" s="90">
        <f t="shared" ref="Z26" si="16">(V26-AB26-U26)*3.5%</f>
        <v>1249.2608782500001</v>
      </c>
      <c r="AA26" s="90">
        <f t="shared" si="9"/>
        <v>1189.7722649999998</v>
      </c>
      <c r="AB26" s="90">
        <f t="shared" si="10"/>
        <v>3965.9075499999999</v>
      </c>
      <c r="AC26" s="90">
        <f t="shared" si="13"/>
        <v>-13674.864999999998</v>
      </c>
    </row>
    <row r="27" spans="1:31" x14ac:dyDescent="0.25">
      <c r="A27" s="88"/>
      <c r="B27" s="89"/>
      <c r="C27" s="89"/>
      <c r="D27" s="88"/>
      <c r="E27" s="88"/>
      <c r="F27" s="88"/>
      <c r="G27" s="88"/>
      <c r="H27" s="88"/>
      <c r="I27" s="88">
        <f t="shared" si="0"/>
        <v>0</v>
      </c>
      <c r="J27" s="90"/>
      <c r="K27" s="88"/>
      <c r="L27" s="90"/>
      <c r="M27" s="90"/>
      <c r="N27" s="91"/>
      <c r="O27" s="92"/>
      <c r="P27" s="88"/>
      <c r="Q27" s="88"/>
      <c r="R27" s="90">
        <f>(J27/240*1.5)*80</f>
        <v>0</v>
      </c>
      <c r="S27" s="88"/>
      <c r="T27" s="91"/>
      <c r="U27" s="88"/>
      <c r="V27" s="91"/>
      <c r="W27" s="93"/>
      <c r="X27" s="91">
        <f t="shared" ref="X27" si="17">N27</f>
        <v>0</v>
      </c>
      <c r="Y27" s="90">
        <f>(V27-U27-AB27)*6%</f>
        <v>0</v>
      </c>
      <c r="Z27" s="90">
        <f>(V27-AB27-U27)*5%</f>
        <v>0</v>
      </c>
      <c r="AA27" s="90">
        <f>(V27-AB27-U27)*1.5%</f>
        <v>0</v>
      </c>
      <c r="AB27" s="90">
        <f t="shared" si="10"/>
        <v>0</v>
      </c>
      <c r="AC27" s="90">
        <f t="shared" si="13"/>
        <v>0</v>
      </c>
    </row>
    <row r="28" spans="1:31" x14ac:dyDescent="0.25">
      <c r="A28" s="88"/>
      <c r="B28" s="96" t="s">
        <v>46</v>
      </c>
      <c r="C28" s="96"/>
      <c r="D28" s="96"/>
      <c r="E28" s="96"/>
      <c r="F28" s="96"/>
      <c r="G28" s="96"/>
      <c r="H28" s="96"/>
      <c r="I28" s="88">
        <f t="shared" si="0"/>
        <v>0</v>
      </c>
      <c r="J28" s="91">
        <f>SUM(J15:J27)</f>
        <v>1304898.1270000001</v>
      </c>
      <c r="K28" s="96">
        <f>SUM(K15:K27)</f>
        <v>11</v>
      </c>
      <c r="L28" s="91">
        <f>SUM(L15:L27)</f>
        <v>1206873.9522500003</v>
      </c>
      <c r="M28" s="91">
        <f t="shared" ref="M28:U28" si="18">SUM(M15:M27)</f>
        <v>178835.92743750004</v>
      </c>
      <c r="N28" s="91">
        <f t="shared" si="18"/>
        <v>1385709.8796875002</v>
      </c>
      <c r="O28" s="91">
        <f t="shared" si="18"/>
        <v>138570.98796875001</v>
      </c>
      <c r="P28" s="91">
        <f t="shared" si="18"/>
        <v>10618.199999999999</v>
      </c>
      <c r="Q28" s="91">
        <f t="shared" si="18"/>
        <v>76185.585000000006</v>
      </c>
      <c r="R28" s="91">
        <f t="shared" si="18"/>
        <v>0</v>
      </c>
      <c r="S28" s="91">
        <f t="shared" si="18"/>
        <v>0</v>
      </c>
      <c r="T28" s="91">
        <f t="shared" si="18"/>
        <v>225374.77296874998</v>
      </c>
      <c r="U28" s="91">
        <f t="shared" si="18"/>
        <v>43130</v>
      </c>
      <c r="V28" s="91">
        <f>SUM(V15:V27)</f>
        <v>1730400.2376562504</v>
      </c>
      <c r="W28" s="91">
        <f>SUM(W15:W27)</f>
        <v>20764802.851875</v>
      </c>
      <c r="X28" s="91">
        <f>SUM(X15:X27)</f>
        <v>1349656.1746875001</v>
      </c>
      <c r="Y28" s="90">
        <f>SUM(Y15:Y27)</f>
        <v>98427.038056937497</v>
      </c>
      <c r="Z28" s="90">
        <f t="shared" ref="Z28:AA28" si="19">SUM(Z15:Z27)</f>
        <v>52998.057486171892</v>
      </c>
      <c r="AA28" s="90">
        <f t="shared" si="19"/>
        <v>51912.00712968751</v>
      </c>
      <c r="AB28" s="90">
        <f>V28*10%</f>
        <v>173040.02376562505</v>
      </c>
      <c r="AC28" s="90">
        <f>SUM(AC15:AC27)</f>
        <v>177439.46224999998</v>
      </c>
    </row>
    <row r="29" spans="1:31" x14ac:dyDescent="0.2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>
        <f>V28*12</f>
        <v>20764802.851875003</v>
      </c>
      <c r="X29" s="88"/>
      <c r="Y29" s="90">
        <f>Y28*12/1000</f>
        <v>1181.1244566832499</v>
      </c>
      <c r="Z29" s="90">
        <f t="shared" ref="Z29:AB29" si="20">Z28*12/1000</f>
        <v>635.97668983406265</v>
      </c>
      <c r="AA29" s="90">
        <f t="shared" si="20"/>
        <v>622.94408555625012</v>
      </c>
      <c r="AB29" s="90">
        <f t="shared" si="20"/>
        <v>2076.4802851875006</v>
      </c>
      <c r="AC29" s="90">
        <f>AC28*12/1000</f>
        <v>2129.2735469999998</v>
      </c>
    </row>
    <row r="30" spans="1:31" x14ac:dyDescent="0.25">
      <c r="V30" s="97"/>
      <c r="W30" s="97"/>
      <c r="X30" s="97">
        <f>((V28+Y28+Z28+AA28)*12+Y28)/1000</f>
        <v>23303.275122005503</v>
      </c>
      <c r="AC30" s="97">
        <f>+X28+Y28+Z28+AA28</f>
        <v>1552993.277360297</v>
      </c>
    </row>
    <row r="31" spans="1:31" x14ac:dyDescent="0.25">
      <c r="B31" t="s">
        <v>98</v>
      </c>
      <c r="V31" s="97">
        <f>V28+'[2]тариф 01092023Н'!U25</f>
        <v>4419051.4114062507</v>
      </c>
      <c r="W31" s="97">
        <f>W28+'[2]тариф 01092023Н'!V25</f>
        <v>53028616.936875001</v>
      </c>
      <c r="X31" s="97"/>
    </row>
    <row r="32" spans="1:31" x14ac:dyDescent="0.25">
      <c r="V32" s="97"/>
      <c r="W32" s="97"/>
      <c r="X32" s="97" t="e">
        <f>X30-#REF!</f>
        <v>#REF!</v>
      </c>
      <c r="AD32" s="97"/>
      <c r="AE32" s="97"/>
    </row>
    <row r="33" spans="2:31" x14ac:dyDescent="0.25">
      <c r="B33" t="s">
        <v>159</v>
      </c>
      <c r="V33" s="97">
        <f>V17+V18+V19+V20+V21+V22+V23+V24+V25</f>
        <v>955963.00965625001</v>
      </c>
      <c r="W33" s="97">
        <f t="shared" ref="W33:AA33" si="21">W17+W18+W19+W20+W21+W22+W23+W24+W25</f>
        <v>11471556.115875</v>
      </c>
      <c r="X33" s="97">
        <f t="shared" si="21"/>
        <v>828037.09968750016</v>
      </c>
      <c r="Y33" s="97">
        <f t="shared" si="21"/>
        <v>57124.987744937498</v>
      </c>
      <c r="Z33" s="97">
        <f t="shared" si="21"/>
        <v>28905.194804171882</v>
      </c>
      <c r="AA33" s="97">
        <f t="shared" si="21"/>
        <v>28678.890289687501</v>
      </c>
      <c r="AD33" s="97"/>
      <c r="AE33" s="97"/>
    </row>
    <row r="34" spans="2:31" x14ac:dyDescent="0.25">
      <c r="X34" s="97"/>
      <c r="Y34" s="97"/>
      <c r="Z34" s="97"/>
      <c r="AA34" s="97"/>
      <c r="AD34" s="97"/>
      <c r="AE34" s="97"/>
    </row>
    <row r="35" spans="2:31" x14ac:dyDescent="0.25">
      <c r="W35">
        <f>(V33+Y33+Z33+AA33)*12</f>
        <v>12848064.989940565</v>
      </c>
      <c r="X35" s="97"/>
      <c r="AD35" s="97"/>
    </row>
    <row r="36" spans="2:31" x14ac:dyDescent="0.25">
      <c r="W36">
        <f>(W35+X33)/1000</f>
        <v>13676.102089628064</v>
      </c>
    </row>
    <row r="37" spans="2:31" x14ac:dyDescent="0.25">
      <c r="W37" t="e">
        <f>W36-#REF!</f>
        <v>#REF!</v>
      </c>
      <c r="AD37" s="97"/>
      <c r="AE37" s="97"/>
    </row>
    <row r="38" spans="2:31" x14ac:dyDescent="0.25">
      <c r="AD38" s="97"/>
      <c r="AE38" s="97"/>
    </row>
    <row r="39" spans="2:31" x14ac:dyDescent="0.25">
      <c r="AD39" s="97"/>
      <c r="AE39" s="97"/>
    </row>
  </sheetData>
  <mergeCells count="6">
    <mergeCell ref="Q13:Q14"/>
    <mergeCell ref="Y13:Y14"/>
    <mergeCell ref="Z13:Z14"/>
    <mergeCell ref="AA13:AA14"/>
    <mergeCell ref="AB13:AB14"/>
    <mergeCell ref="AC13:A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2024-02-26T10:41:12Z</dcterms:modified>
</cp:coreProperties>
</file>